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6"/>
  <workbookPr defaultThemeVersion="166925"/>
  <mc:AlternateContent xmlns:mc="http://schemas.openxmlformats.org/markup-compatibility/2006">
    <mc:Choice Requires="x15">
      <x15ac:absPath xmlns:x15ac="http://schemas.microsoft.com/office/spreadsheetml/2010/11/ac" url="https://d.docs.live.net/ce25b1197ff5f083/Calculators/"/>
    </mc:Choice>
  </mc:AlternateContent>
  <xr:revisionPtr revIDLastSave="65" documentId="8_{DE381AD3-8007-41AD-BD8C-E02AE9D68F8E}" xr6:coauthVersionLast="47" xr6:coauthVersionMax="47" xr10:uidLastSave="{8016EDC4-A1A5-FD47-A379-5AB984B3FCAD}"/>
  <bookViews>
    <workbookView xWindow="780" yWindow="780" windowWidth="26610" windowHeight="20355" firstSheet="1" activeTab="1" xr2:uid="{00000000-000D-0000-FFFF-FFFF00000000}"/>
  </bookViews>
  <sheets>
    <sheet name="Factors" sheetId="1" r:id="rId1"/>
    <sheet name="Test_using_Factors" sheetId="2" r:id="rId2"/>
    <sheet name="Test_using_Volume" sheetId="3" r:id="rId3"/>
    <sheet name="Test Volumes"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3" l="1"/>
  <c r="F4" i="2"/>
  <c r="G4" i="2"/>
  <c r="F8" i="2"/>
  <c r="F9" i="2"/>
  <c r="F11" i="2"/>
  <c r="G11" i="2"/>
  <c r="D24" i="4"/>
  <c r="D26" i="4"/>
  <c r="H22" i="4"/>
  <c r="H23" i="4"/>
  <c r="H24" i="4"/>
  <c r="H25" i="4"/>
  <c r="C28" i="4"/>
  <c r="D14" i="4"/>
  <c r="D16" i="4"/>
  <c r="H12" i="4"/>
  <c r="H13" i="4"/>
  <c r="H14" i="4"/>
  <c r="H15" i="4"/>
  <c r="C18" i="4"/>
  <c r="D4" i="4"/>
  <c r="D6" i="4"/>
  <c r="H2" i="4"/>
  <c r="H3" i="4"/>
  <c r="H4" i="4"/>
  <c r="H5" i="4"/>
  <c r="C8" i="4"/>
  <c r="C59" i="2"/>
  <c r="C60" i="2"/>
  <c r="E60" i="2"/>
  <c r="E59" i="2"/>
  <c r="D57" i="2"/>
  <c r="D56" i="2"/>
  <c r="E51" i="2"/>
  <c r="E50" i="2"/>
  <c r="B48" i="2"/>
  <c r="E47" i="2"/>
  <c r="E45" i="2"/>
  <c r="E41" i="2"/>
  <c r="D35" i="3"/>
  <c r="E38" i="3"/>
  <c r="D34" i="3"/>
  <c r="E37" i="3"/>
  <c r="B26" i="3"/>
  <c r="E25" i="3"/>
  <c r="E23" i="3"/>
  <c r="F23" i="3"/>
  <c r="E29" i="3"/>
  <c r="E19" i="3"/>
  <c r="F19" i="3"/>
  <c r="E28" i="3"/>
  <c r="K8" i="3"/>
  <c r="K10" i="3"/>
  <c r="O7" i="3"/>
  <c r="O8" i="3"/>
  <c r="O9" i="3"/>
  <c r="J12" i="3"/>
  <c r="F23" i="2"/>
  <c r="G23" i="2"/>
  <c r="G22" i="2"/>
  <c r="F22" i="2"/>
  <c r="F17" i="2"/>
  <c r="G16" i="2"/>
  <c r="F16" i="2"/>
  <c r="F15" i="2"/>
  <c r="G15" i="2"/>
  <c r="F10" i="2"/>
  <c r="G10" i="2"/>
  <c r="G9" i="2"/>
  <c r="H27" i="4"/>
  <c r="H26" i="4"/>
  <c r="H30" i="4"/>
  <c r="H29" i="4"/>
  <c r="C29" i="4"/>
  <c r="C30" i="4"/>
  <c r="H28" i="4"/>
  <c r="H16" i="4"/>
  <c r="H19" i="4"/>
  <c r="H17" i="4"/>
  <c r="H20" i="4"/>
  <c r="C19" i="4"/>
  <c r="C20" i="4"/>
  <c r="H18" i="4"/>
  <c r="E39" i="3"/>
  <c r="E26" i="3"/>
  <c r="E61" i="2"/>
  <c r="E48" i="2"/>
  <c r="C38" i="3"/>
  <c r="C37" i="3"/>
  <c r="K17" i="2"/>
  <c r="L17" i="2"/>
  <c r="I11" i="2"/>
  <c r="J11" i="2"/>
  <c r="G17" i="2"/>
  <c r="I17" i="2"/>
  <c r="J17" i="2"/>
  <c r="F24" i="2"/>
  <c r="G8" i="2"/>
  <c r="K11" i="2"/>
  <c r="L11" i="2"/>
  <c r="I24" i="2"/>
  <c r="J24" i="2"/>
  <c r="G24" i="2"/>
  <c r="K24" i="2"/>
  <c r="L24" i="2"/>
  <c r="O14" i="3"/>
  <c r="O11" i="3"/>
  <c r="O13" i="3"/>
  <c r="J13" i="3"/>
  <c r="J14" i="3"/>
  <c r="O12" i="3"/>
  <c r="O10" i="3"/>
  <c r="I4" i="2"/>
  <c r="J4" i="2"/>
  <c r="H10" i="4"/>
  <c r="H9" i="4"/>
  <c r="H8" i="4"/>
  <c r="H7" i="4"/>
  <c r="H6" i="4"/>
  <c r="C9" i="4"/>
  <c r="C10" i="4"/>
  <c r="K4" i="2"/>
  <c r="L4" i="2"/>
</calcChain>
</file>

<file path=xl/sharedStrings.xml><?xml version="1.0" encoding="utf-8"?>
<sst xmlns="http://schemas.openxmlformats.org/spreadsheetml/2006/main" count="217" uniqueCount="99">
  <si>
    <t>Low Pressure PE80 or PE100</t>
  </si>
  <si>
    <t>Medium Pressure PE80 or PE100</t>
  </si>
  <si>
    <t>Intermediate Pressure PE100</t>
  </si>
  <si>
    <t>Steel Pipe to GIS/L2</t>
  </si>
  <si>
    <t>Dia (mm)</t>
  </si>
  <si>
    <t>SDR11</t>
  </si>
  <si>
    <t>SDR13.6</t>
  </si>
  <si>
    <t>SDR17.6</t>
  </si>
  <si>
    <t>SDR21</t>
  </si>
  <si>
    <t>SDR26</t>
  </si>
  <si>
    <t>IP 6/4bar SDR11</t>
  </si>
  <si>
    <t>IP 7/5.5bar SDR11</t>
  </si>
  <si>
    <t>IP 7/7bar SDR11</t>
  </si>
  <si>
    <t>NPS (inches)</t>
  </si>
  <si>
    <t>Low pressure MOP 75mbar</t>
  </si>
  <si>
    <t>Medium pressure MOP 2bar</t>
  </si>
  <si>
    <t>Intermediate
Pressure
(6/4)
MOP 4 bar</t>
  </si>
  <si>
    <t>Intermediate
Pressure
(7/5.5)
MOP 5.5 bar</t>
  </si>
  <si>
    <t>Intermediate
Pressure
(7/7)
MOP 7 bar</t>
  </si>
  <si>
    <t>– Test period for Steel Pipe (manufactured to GIS/L2:2006) for both Low and Medium Pressure per metre length (calculated in hours) Maximum pressure loss 3mbar</t>
  </si>
  <si>
    <t>Test period table for Intermediate Pressure PE100 mains per metre length (calculated in hours) Maximum allowable pressure loss = 3 mbar + any additional creep allowance.</t>
  </si>
  <si>
    <t>Test period table for Low Pressure PE80 and PE100 mains per metre length (calculated in hours)</t>
  </si>
  <si>
    <t>Test period table for Medium Pressure PE80 and PE100 mains per metre length (calculated in hours) Maximum allowable pressure loss = 3 mbar + any additional creep allowance.</t>
  </si>
  <si>
    <t>Single pipe</t>
  </si>
  <si>
    <t>Size</t>
  </si>
  <si>
    <t>Length</t>
  </si>
  <si>
    <t>SDR</t>
  </si>
  <si>
    <t>Factor</t>
  </si>
  <si>
    <t>Time H/M</t>
  </si>
  <si>
    <t>Conditioning Period</t>
  </si>
  <si>
    <t>Conditioning Time</t>
  </si>
  <si>
    <t>Total Test Time</t>
  </si>
  <si>
    <t>Multiple PE pipe sizes Same SDR</t>
  </si>
  <si>
    <t>Multiple same size pipe different SDR's</t>
  </si>
  <si>
    <t>(Use the shortest curve on the chart)                                                                                                                                                                           In this instance due to there being two different SDR’s of pipes we have to apportion the additional
creep allowance in proportion to the volumes of each of the pipes being tested.</t>
  </si>
  <si>
    <t>PE and Steel</t>
  </si>
  <si>
    <t>18"</t>
  </si>
  <si>
    <t>Conditioning Period Table</t>
  </si>
  <si>
    <t>PE</t>
  </si>
  <si>
    <t>Pressure</t>
  </si>
  <si>
    <t>Conditioning period</t>
  </si>
  <si>
    <t>Additional Creep</t>
  </si>
  <si>
    <t>7/5.5</t>
  </si>
  <si>
    <t>6/4</t>
  </si>
  <si>
    <t>7/7</t>
  </si>
  <si>
    <t>3/2</t>
  </si>
  <si>
    <t>10mbar</t>
  </si>
  <si>
    <t>3mbar</t>
  </si>
  <si>
    <t>PE Pipe 1</t>
  </si>
  <si>
    <t>Pipe id / 2 r</t>
  </si>
  <si>
    <t>LP</t>
  </si>
  <si>
    <t>1.0xV</t>
  </si>
  <si>
    <t>0.3xV</t>
  </si>
  <si>
    <t>Pipe Diameter</t>
  </si>
  <si>
    <t>r * r =r2</t>
  </si>
  <si>
    <t>pi * r2 =a</t>
  </si>
  <si>
    <t>MP</t>
  </si>
  <si>
    <t>.88xV</t>
  </si>
  <si>
    <t>PE Type</t>
  </si>
  <si>
    <t>a * L = v</t>
  </si>
  <si>
    <t>Pipe ID in m</t>
  </si>
  <si>
    <t>IP</t>
  </si>
  <si>
    <t>4bar</t>
  </si>
  <si>
    <t>.84xV</t>
  </si>
  <si>
    <t>Length in m</t>
  </si>
  <si>
    <t>5.5bar</t>
  </si>
  <si>
    <t>1.12xV</t>
  </si>
  <si>
    <t xml:space="preserve">Total Volume in m3  </t>
  </si>
  <si>
    <t>7bar</t>
  </si>
  <si>
    <t>1.75xV</t>
  </si>
  <si>
    <t xml:space="preserve">Total Volume in Lts  </t>
  </si>
  <si>
    <t>Total Volume Gallons</t>
  </si>
  <si>
    <t xml:space="preserve">Initial pressurisation </t>
  </si>
  <si>
    <t xml:space="preserve">Test commenced </t>
  </si>
  <si>
    <t xml:space="preserve">Total actual conditioning time </t>
  </si>
  <si>
    <t>Test on pressure</t>
  </si>
  <si>
    <t xml:space="preserve">Test completed </t>
  </si>
  <si>
    <t xml:space="preserve">Test off pressure </t>
  </si>
  <si>
    <t>Total actual test duration</t>
  </si>
  <si>
    <t>Pressure drop</t>
  </si>
  <si>
    <t>Actual Test time</t>
  </si>
  <si>
    <t>Actual Conditioning time</t>
  </si>
  <si>
    <t>Total Volume</t>
  </si>
  <si>
    <t>Creep by Volume</t>
  </si>
  <si>
    <t>Volume</t>
  </si>
  <si>
    <t>% Volume of test</t>
  </si>
  <si>
    <t>Pipe 1</t>
  </si>
  <si>
    <t>%</t>
  </si>
  <si>
    <t>Pipe 2</t>
  </si>
  <si>
    <t>Allowable drop from curve</t>
  </si>
  <si>
    <t xml:space="preserve">Actual drop </t>
  </si>
  <si>
    <t xml:space="preserve">Total Creep Allowance </t>
  </si>
  <si>
    <t>v *.3</t>
  </si>
  <si>
    <t>v *0.88</t>
  </si>
  <si>
    <t>v *0.84</t>
  </si>
  <si>
    <t>v *1.12</t>
  </si>
  <si>
    <t>v *1.75</t>
  </si>
  <si>
    <t>PE Pipe 2</t>
  </si>
  <si>
    <t>PE Pipe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</si>
</sst>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0.0000"/>
    <numFmt numFmtId="166" formatCode="dd/mm/yyyy&quot; &quot;hh&quot;:&quot;mm"/>
    <numFmt numFmtId="167" formatCode="0.000"/>
  </numFmts>
  <fonts count="7" x14ac:knownFonts="1">
    <font>
      <sz val="11"/>
      <color rgb="FF000000"/>
      <name val="Calibri"/>
      <family val="2"/>
    </font>
    <font>
      <sz val="11"/>
      <color rgb="FF000000"/>
      <name val="Calibri"/>
      <family val="2"/>
    </font>
    <font>
      <sz val="11"/>
      <color rgb="FF9C0006"/>
      <name val="Calibri"/>
      <family val="2"/>
    </font>
    <font>
      <sz val="11"/>
      <color rgb="FF006100"/>
      <name val="Calibri"/>
      <family val="2"/>
    </font>
    <font>
      <sz val="11"/>
      <color rgb="FF3F3F76"/>
      <name val="Calibri"/>
      <family val="2"/>
    </font>
    <font>
      <sz val="10"/>
      <color rgb="FF000000"/>
      <name val="Calibri"/>
      <family val="2"/>
    </font>
    <font>
      <sz val="12"/>
      <color rgb="FF000000"/>
      <name val="Calibri"/>
      <family val="2"/>
    </font>
  </fonts>
  <fills count="13">
    <fill>
      <patternFill patternType="none"/>
    </fill>
    <fill>
      <patternFill patternType="gray125"/>
    </fill>
    <fill>
      <patternFill patternType="solid">
        <fgColor rgb="FFFFC7CE"/>
        <bgColor rgb="FFFFC7CE"/>
      </patternFill>
    </fill>
    <fill>
      <patternFill patternType="solid">
        <fgColor rgb="FFC6EFCE"/>
        <bgColor rgb="FFC6EFCE"/>
      </patternFill>
    </fill>
    <fill>
      <patternFill patternType="solid">
        <fgColor rgb="FFFFCC99"/>
        <bgColor rgb="FFFFCC99"/>
      </patternFill>
    </fill>
    <fill>
      <patternFill patternType="solid">
        <fgColor rgb="FFE2EFDA"/>
        <bgColor rgb="FFE2EFDA"/>
      </patternFill>
    </fill>
    <fill>
      <patternFill patternType="solid">
        <fgColor rgb="FFFFF2CC"/>
        <bgColor rgb="FFFFF2CC"/>
      </patternFill>
    </fill>
    <fill>
      <patternFill patternType="solid">
        <fgColor rgb="FFF8CBAD"/>
        <bgColor rgb="FFF8CBAD"/>
      </patternFill>
    </fill>
    <fill>
      <patternFill patternType="solid">
        <fgColor rgb="FFD9D9D9"/>
        <bgColor rgb="FFD9D9D9"/>
      </patternFill>
    </fill>
    <fill>
      <patternFill patternType="solid">
        <fgColor rgb="FFDBDBDB"/>
        <bgColor rgb="FFDBDBDB"/>
      </patternFill>
    </fill>
    <fill>
      <patternFill patternType="solid">
        <fgColor rgb="FFB4C6E7"/>
        <bgColor rgb="FFB4C6E7"/>
      </patternFill>
    </fill>
    <fill>
      <patternFill patternType="solid">
        <fgColor theme="5" tint="0.39997558519241921"/>
        <bgColor rgb="FFFFCC99"/>
      </patternFill>
    </fill>
    <fill>
      <patternFill patternType="solid">
        <fgColor theme="5" tint="0.39997558519241921"/>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0" fontId="3" fillId="3" borderId="0" applyNumberFormat="0" applyBorder="0" applyAlignment="0" applyProtection="0"/>
    <xf numFmtId="0" fontId="2" fillId="2" borderId="0" applyNumberFormat="0" applyBorder="0" applyAlignment="0" applyProtection="0"/>
    <xf numFmtId="0" fontId="4" fillId="4" borderId="1" applyNumberFormat="0" applyAlignment="0" applyProtection="0"/>
  </cellStyleXfs>
  <cellXfs count="73">
    <xf numFmtId="0" fontId="0" fillId="0" borderId="0" xfId="0"/>
    <xf numFmtId="0" fontId="0" fillId="0" borderId="0" xfId="0" applyAlignment="1">
      <alignment horizontal="center" vertical="center"/>
    </xf>
    <xf numFmtId="0" fontId="0" fillId="5" borderId="2" xfId="0" applyFill="1" applyBorder="1" applyAlignment="1">
      <alignment horizontal="center" vertical="center"/>
    </xf>
    <xf numFmtId="0" fontId="0" fillId="6" borderId="2" xfId="0" applyFill="1" applyBorder="1" applyAlignment="1">
      <alignment horizontal="center" vertical="center"/>
    </xf>
    <xf numFmtId="0" fontId="0" fillId="0" borderId="0" xfId="0" applyFill="1" applyAlignment="1">
      <alignment horizontal="center" vertical="center"/>
    </xf>
    <xf numFmtId="0" fontId="0" fillId="7" borderId="2" xfId="0" applyFill="1" applyBorder="1" applyAlignment="1">
      <alignment horizontal="center" vertical="center"/>
    </xf>
    <xf numFmtId="0" fontId="0" fillId="8" borderId="2" xfId="0" applyFill="1" applyBorder="1" applyAlignment="1">
      <alignment horizontal="center" vertical="center"/>
    </xf>
    <xf numFmtId="0" fontId="0" fillId="7" borderId="2" xfId="0" applyFill="1" applyBorder="1" applyAlignment="1">
      <alignment horizontal="center" vertical="center" wrapText="1"/>
    </xf>
    <xf numFmtId="0" fontId="0" fillId="8" borderId="2" xfId="0" applyFill="1" applyBorder="1" applyAlignment="1">
      <alignment horizontal="center" vertical="center" wrapText="1"/>
    </xf>
    <xf numFmtId="164" fontId="0" fillId="5" borderId="2" xfId="0" applyNumberFormat="1" applyFill="1" applyBorder="1" applyAlignment="1">
      <alignment horizontal="center" vertical="center"/>
    </xf>
    <xf numFmtId="164" fontId="0" fillId="0" borderId="0" xfId="0" applyNumberFormat="1" applyAlignment="1">
      <alignment horizontal="center" vertical="center"/>
    </xf>
    <xf numFmtId="165" fontId="0" fillId="6" borderId="2" xfId="0" applyNumberFormat="1" applyFill="1" applyBorder="1" applyAlignment="1">
      <alignment horizontal="center" vertical="center"/>
    </xf>
    <xf numFmtId="165" fontId="0" fillId="0" borderId="0" xfId="0" applyNumberFormat="1" applyAlignment="1">
      <alignment horizontal="center" vertical="center"/>
    </xf>
    <xf numFmtId="165" fontId="0" fillId="7" borderId="2" xfId="0" applyNumberFormat="1" applyFill="1" applyBorder="1" applyAlignment="1">
      <alignment horizontal="center" vertical="center"/>
    </xf>
    <xf numFmtId="165" fontId="0" fillId="8" borderId="2" xfId="0" applyNumberFormat="1" applyFill="1" applyBorder="1" applyAlignment="1">
      <alignment horizontal="center" vertical="center"/>
    </xf>
    <xf numFmtId="0" fontId="0" fillId="7" borderId="3" xfId="0" applyFill="1" applyBorder="1" applyAlignment="1">
      <alignment horizontal="center" vertical="center"/>
    </xf>
    <xf numFmtId="165" fontId="0" fillId="7" borderId="3" xfId="0" applyNumberFormat="1" applyFill="1" applyBorder="1" applyAlignment="1">
      <alignment horizontal="center" vertical="center"/>
    </xf>
    <xf numFmtId="0" fontId="0" fillId="5" borderId="3" xfId="0" applyFill="1" applyBorder="1" applyAlignment="1">
      <alignment horizontal="center" vertical="center"/>
    </xf>
    <xf numFmtId="164" fontId="0" fillId="5" borderId="3" xfId="0" applyNumberFormat="1" applyFill="1" applyBorder="1" applyAlignment="1">
      <alignment horizontal="center" vertical="center"/>
    </xf>
    <xf numFmtId="0" fontId="0" fillId="6" borderId="3" xfId="0" applyFill="1" applyBorder="1" applyAlignment="1">
      <alignment horizontal="center" vertical="center"/>
    </xf>
    <xf numFmtId="165" fontId="0" fillId="6" borderId="3" xfId="0" applyNumberFormat="1"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165" fontId="0" fillId="0" borderId="2" xfId="0" applyNumberFormat="1" applyBorder="1" applyAlignment="1">
      <alignment horizontal="center" vertical="center"/>
    </xf>
    <xf numFmtId="165" fontId="0" fillId="0" borderId="2" xfId="0" applyNumberFormat="1" applyBorder="1"/>
    <xf numFmtId="165" fontId="0" fillId="0" borderId="0" xfId="0" applyNumberFormat="1"/>
    <xf numFmtId="0" fontId="0" fillId="0" borderId="0" xfId="0" applyAlignment="1">
      <alignment horizontal="center" vertical="center" wrapText="1"/>
    </xf>
    <xf numFmtId="0" fontId="0" fillId="10" borderId="2" xfId="0" applyFill="1" applyBorder="1" applyAlignment="1">
      <alignment horizontal="center" vertical="center" wrapText="1"/>
    </xf>
    <xf numFmtId="0" fontId="5" fillId="0" borderId="2" xfId="0" applyFont="1" applyBorder="1" applyAlignment="1">
      <alignment horizontal="center" vertical="center"/>
    </xf>
    <xf numFmtId="49" fontId="5" fillId="0" borderId="2" xfId="0" applyNumberFormat="1" applyFont="1" applyBorder="1" applyAlignment="1">
      <alignment horizontal="center" vertical="center"/>
    </xf>
    <xf numFmtId="0" fontId="0" fillId="0" borderId="2" xfId="0" applyFont="1" applyBorder="1" applyAlignment="1">
      <alignment horizontal="center" vertical="center"/>
    </xf>
    <xf numFmtId="0" fontId="6" fillId="3" borderId="2" xfId="2" applyFont="1" applyFill="1" applyBorder="1" applyAlignment="1">
      <alignment horizontal="center" vertical="center"/>
    </xf>
    <xf numFmtId="2" fontId="6" fillId="2" borderId="2" xfId="3" applyNumberFormat="1" applyFont="1" applyFill="1" applyBorder="1" applyAlignment="1">
      <alignment horizontal="center" vertical="center"/>
    </xf>
    <xf numFmtId="167" fontId="6" fillId="2" borderId="2" xfId="3" applyNumberFormat="1" applyFont="1" applyFill="1" applyBorder="1" applyAlignment="1">
      <alignment horizontal="center" vertical="center"/>
    </xf>
    <xf numFmtId="2" fontId="0" fillId="0" borderId="0" xfId="0" applyNumberFormat="1" applyAlignment="1">
      <alignment horizontal="center" vertical="center"/>
    </xf>
    <xf numFmtId="166" fontId="0" fillId="0" borderId="0" xfId="0" applyNumberFormat="1" applyAlignment="1">
      <alignment horizontal="center" vertical="center"/>
    </xf>
    <xf numFmtId="14" fontId="0" fillId="0" borderId="0" xfId="0" applyNumberFormat="1" applyAlignment="1">
      <alignment horizontal="center" vertical="center"/>
    </xf>
    <xf numFmtId="1" fontId="0" fillId="0" borderId="0" xfId="1" applyNumberFormat="1" applyFont="1" applyAlignment="1">
      <alignment horizontal="center" vertical="center"/>
    </xf>
    <xf numFmtId="0" fontId="0" fillId="0" borderId="0" xfId="0" applyAlignment="1">
      <alignment horizontal="center" vertical="center"/>
    </xf>
    <xf numFmtId="0" fontId="0" fillId="11" borderId="4" xfId="4" applyFont="1" applyFill="1" applyBorder="1" applyAlignment="1">
      <alignment horizontal="center" vertical="center"/>
    </xf>
    <xf numFmtId="0" fontId="0" fillId="12" borderId="4" xfId="0" applyFill="1" applyBorder="1" applyAlignment="1">
      <alignment horizontal="center" vertical="center"/>
    </xf>
    <xf numFmtId="0" fontId="0" fillId="11" borderId="5" xfId="4" applyFont="1" applyFill="1" applyBorder="1" applyAlignment="1">
      <alignment horizontal="center" vertical="center"/>
    </xf>
    <xf numFmtId="0" fontId="0" fillId="11" borderId="6" xfId="4" applyFont="1" applyFill="1" applyBorder="1" applyAlignment="1">
      <alignment horizontal="center" vertical="center"/>
    </xf>
    <xf numFmtId="0" fontId="0" fillId="11" borderId="7" xfId="4" applyFont="1" applyFill="1" applyBorder="1" applyAlignment="1">
      <alignment horizontal="center" vertical="center"/>
    </xf>
    <xf numFmtId="0" fontId="0" fillId="11" borderId="8" xfId="4" applyFont="1" applyFill="1" applyBorder="1" applyAlignment="1">
      <alignment horizontal="center" vertical="center"/>
    </xf>
    <xf numFmtId="0" fontId="0" fillId="11" borderId="9" xfId="4" applyFont="1" applyFill="1" applyBorder="1" applyAlignment="1">
      <alignment horizontal="center" vertical="center"/>
    </xf>
    <xf numFmtId="0" fontId="0" fillId="11" borderId="10" xfId="4" applyFont="1" applyFill="1" applyBorder="1" applyAlignment="1">
      <alignment horizontal="center" vertical="center"/>
    </xf>
    <xf numFmtId="0" fontId="0" fillId="11" borderId="11" xfId="4" applyFont="1" applyFill="1" applyBorder="1" applyAlignment="1">
      <alignment horizontal="center" vertical="center"/>
    </xf>
    <xf numFmtId="2" fontId="0" fillId="11" borderId="12" xfId="4" applyNumberFormat="1" applyFont="1" applyFill="1" applyBorder="1" applyAlignment="1">
      <alignment horizontal="center" vertical="center"/>
    </xf>
    <xf numFmtId="0" fontId="0" fillId="12" borderId="6" xfId="0" applyFill="1" applyBorder="1" applyAlignment="1">
      <alignment horizontal="center" vertical="center"/>
    </xf>
    <xf numFmtId="2" fontId="0" fillId="12" borderId="7" xfId="0" applyNumberFormat="1" applyFill="1" applyBorder="1" applyAlignment="1">
      <alignment horizontal="center" vertical="center"/>
    </xf>
    <xf numFmtId="2" fontId="0" fillId="12" borderId="9" xfId="0" applyNumberFormat="1" applyFill="1" applyBorder="1" applyAlignment="1">
      <alignment horizontal="center" vertical="center"/>
    </xf>
    <xf numFmtId="0" fontId="0" fillId="12" borderId="11" xfId="0" applyFill="1" applyBorder="1" applyAlignment="1">
      <alignment horizontal="center" vertical="center"/>
    </xf>
    <xf numFmtId="2" fontId="0" fillId="12" borderId="12" xfId="0" applyNumberFormat="1" applyFill="1" applyBorder="1" applyAlignment="1">
      <alignment horizontal="center" vertical="center"/>
    </xf>
    <xf numFmtId="164" fontId="0" fillId="0" borderId="2" xfId="0" applyNumberFormat="1" applyBorder="1" applyAlignment="1">
      <alignment horizontal="center" vertical="center"/>
    </xf>
    <xf numFmtId="0" fontId="0" fillId="8" borderId="2" xfId="0" applyFill="1" applyBorder="1" applyAlignment="1">
      <alignment horizontal="center" vertical="center"/>
    </xf>
    <xf numFmtId="0" fontId="0" fillId="8" borderId="2" xfId="0" applyFill="1" applyBorder="1" applyAlignment="1">
      <alignment horizontal="center" vertical="center" wrapText="1"/>
    </xf>
    <xf numFmtId="0" fontId="0" fillId="7" borderId="2" xfId="0" applyFill="1" applyBorder="1" applyAlignment="1">
      <alignment horizontal="center" vertical="center" wrapText="1"/>
    </xf>
    <xf numFmtId="0" fontId="0" fillId="5" borderId="2" xfId="0" applyFill="1" applyBorder="1" applyAlignment="1">
      <alignment horizontal="center" vertical="center" wrapText="1"/>
    </xf>
    <xf numFmtId="0" fontId="0" fillId="6" borderId="2" xfId="0" applyFill="1" applyBorder="1" applyAlignment="1">
      <alignment horizontal="center" vertical="center" wrapText="1"/>
    </xf>
    <xf numFmtId="0" fontId="0" fillId="5" borderId="2" xfId="0" applyFill="1" applyBorder="1" applyAlignment="1">
      <alignment horizontal="center" vertical="center"/>
    </xf>
    <xf numFmtId="0" fontId="0" fillId="6" borderId="2" xfId="0" applyFill="1" applyBorder="1" applyAlignment="1">
      <alignment horizontal="center" vertical="center"/>
    </xf>
    <xf numFmtId="0" fontId="0" fillId="7" borderId="2" xfId="0" applyFill="1" applyBorder="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166" fontId="0" fillId="0" borderId="0" xfId="0" applyNumberFormat="1" applyAlignment="1">
      <alignment horizontal="center" vertical="center"/>
    </xf>
    <xf numFmtId="165" fontId="0" fillId="0" borderId="0" xfId="0" applyNumberFormat="1" applyAlignment="1">
      <alignment horizontal="center" vertical="center"/>
    </xf>
    <xf numFmtId="0" fontId="0" fillId="0" borderId="2" xfId="0" applyFill="1" applyBorder="1" applyAlignment="1">
      <alignment horizontal="center" vertical="center" wrapText="1"/>
    </xf>
    <xf numFmtId="0" fontId="0" fillId="0" borderId="2" xfId="0" applyFill="1" applyBorder="1"/>
    <xf numFmtId="0" fontId="0" fillId="9" borderId="2" xfId="0" applyFill="1" applyBorder="1" applyAlignment="1">
      <alignment horizontal="center"/>
    </xf>
    <xf numFmtId="0" fontId="0" fillId="10" borderId="2" xfId="0" applyFill="1" applyBorder="1" applyAlignment="1">
      <alignment horizontal="center" vertical="center" wrapText="1"/>
    </xf>
  </cellXfs>
  <cellStyles count="5">
    <cellStyle name="Bad" xfId="3" builtinId="27" customBuiltin="1"/>
    <cellStyle name="Good" xfId="2" builtinId="26" customBuiltin="1"/>
    <cellStyle name="Input" xfId="4" builtinId="20" customBuiltin="1"/>
    <cellStyle name="Normal" xfId="0" builtinId="0" customBuiltin="1"/>
    <cellStyle name="Percent" xfId="1"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32"/>
  <sheetViews>
    <sheetView topLeftCell="M2" workbookViewId="0">
      <selection activeCell="R18" sqref="R18"/>
    </sheetView>
  </sheetViews>
  <sheetFormatPr defaultColWidth="9.14453125" defaultRowHeight="15" x14ac:dyDescent="0.2"/>
  <cols>
    <col min="1" max="5" width="9.14453125" style="1" customWidth="1"/>
    <col min="6" max="6" width="11.296875" style="1" customWidth="1"/>
    <col min="7" max="7" width="2.82421875" style="1" customWidth="1"/>
    <col min="8" max="8" width="12.64453125" style="1" customWidth="1"/>
    <col min="9" max="9" width="9.14453125" style="1" customWidth="1"/>
    <col min="10" max="10" width="13.31640625" style="1" customWidth="1"/>
    <col min="11" max="13" width="9.14453125" style="1" customWidth="1"/>
    <col min="14" max="14" width="2.5546875" style="1" customWidth="1"/>
    <col min="15" max="16" width="9.14453125" style="1" customWidth="1"/>
    <col min="17" max="17" width="10.0859375" style="1" customWidth="1"/>
    <col min="18" max="18" width="9.14453125" style="1" customWidth="1"/>
    <col min="19" max="19" width="2.41796875" style="1" customWidth="1"/>
    <col min="20" max="20" width="9.14453125" style="1" customWidth="1"/>
    <col min="21" max="21" width="12.10546875" style="1" bestFit="1" customWidth="1"/>
    <col min="22" max="22" width="11.703125" style="1" customWidth="1"/>
    <col min="23" max="23" width="10.0859375" style="1" customWidth="1"/>
    <col min="24" max="25" width="13.1796875" style="1" customWidth="1"/>
    <col min="26" max="27" width="12.375" style="1" customWidth="1"/>
    <col min="28" max="28" width="9.14453125" style="1" customWidth="1"/>
    <col min="29" max="16384" width="9.14453125" style="1"/>
  </cols>
  <sheetData>
    <row r="2" spans="1:26" x14ac:dyDescent="0.2">
      <c r="A2" s="62" t="s">
        <v>0</v>
      </c>
      <c r="B2" s="62"/>
      <c r="C2" s="62"/>
      <c r="D2" s="62"/>
      <c r="E2" s="62"/>
      <c r="F2" s="62"/>
      <c r="H2" s="63" t="s">
        <v>1</v>
      </c>
      <c r="I2" s="63"/>
      <c r="J2" s="63"/>
      <c r="K2" s="63"/>
      <c r="L2" s="63"/>
      <c r="M2" s="63"/>
      <c r="N2" s="4"/>
      <c r="O2" s="64" t="s">
        <v>2</v>
      </c>
      <c r="P2" s="64"/>
      <c r="Q2" s="64"/>
      <c r="R2" s="64"/>
      <c r="T2" s="57" t="s">
        <v>3</v>
      </c>
      <c r="U2" s="57"/>
      <c r="V2" s="57"/>
      <c r="W2" s="57"/>
      <c r="X2" s="57"/>
      <c r="Y2" s="57"/>
      <c r="Z2" s="57"/>
    </row>
    <row r="3" spans="1:26" ht="90" customHeight="1" x14ac:dyDescent="0.2">
      <c r="A3" s="2" t="s">
        <v>4</v>
      </c>
      <c r="B3" s="2" t="s">
        <v>5</v>
      </c>
      <c r="C3" s="2" t="s">
        <v>6</v>
      </c>
      <c r="D3" s="2" t="s">
        <v>7</v>
      </c>
      <c r="E3" s="2" t="s">
        <v>8</v>
      </c>
      <c r="F3" s="2" t="s">
        <v>9</v>
      </c>
      <c r="H3" s="3" t="s">
        <v>4</v>
      </c>
      <c r="I3" s="3" t="s">
        <v>5</v>
      </c>
      <c r="J3" s="3" t="s">
        <v>6</v>
      </c>
      <c r="K3" s="3" t="s">
        <v>7</v>
      </c>
      <c r="L3" s="3" t="s">
        <v>8</v>
      </c>
      <c r="M3" s="3" t="s">
        <v>9</v>
      </c>
      <c r="O3" s="5" t="s">
        <v>4</v>
      </c>
      <c r="P3" s="7" t="s">
        <v>10</v>
      </c>
      <c r="Q3" s="7" t="s">
        <v>11</v>
      </c>
      <c r="R3" s="7" t="s">
        <v>12</v>
      </c>
      <c r="T3" s="8" t="s">
        <v>4</v>
      </c>
      <c r="U3" s="8" t="s">
        <v>13</v>
      </c>
      <c r="V3" s="8" t="s">
        <v>14</v>
      </c>
      <c r="W3" s="8" t="s">
        <v>15</v>
      </c>
      <c r="X3" s="8" t="s">
        <v>16</v>
      </c>
      <c r="Y3" s="8" t="s">
        <v>17</v>
      </c>
      <c r="Z3" s="8" t="s">
        <v>18</v>
      </c>
    </row>
    <row r="4" spans="1:26" x14ac:dyDescent="0.2">
      <c r="A4" s="2">
        <v>32</v>
      </c>
      <c r="B4" s="9">
        <v>1.4999999999999999E-4</v>
      </c>
      <c r="C4" s="9"/>
      <c r="D4" s="9"/>
      <c r="E4" s="9"/>
      <c r="F4" s="9"/>
      <c r="G4" s="10"/>
      <c r="H4" s="3">
        <v>32</v>
      </c>
      <c r="I4" s="11">
        <v>4.0000000000000002E-4</v>
      </c>
      <c r="J4" s="11"/>
      <c r="K4" s="11"/>
      <c r="L4" s="11"/>
      <c r="M4" s="11"/>
      <c r="N4" s="12"/>
      <c r="O4" s="5">
        <v>55</v>
      </c>
      <c r="P4" s="13">
        <v>1.2999999999999999E-3</v>
      </c>
      <c r="Q4" s="13">
        <v>1.8E-3</v>
      </c>
      <c r="R4" s="13">
        <v>2.8E-3</v>
      </c>
      <c r="T4" s="8">
        <v>25</v>
      </c>
      <c r="U4" s="8">
        <v>1</v>
      </c>
      <c r="V4" s="8">
        <v>2.0000000000000001E-4</v>
      </c>
      <c r="W4" s="8">
        <v>5.0000000000000001E-4</v>
      </c>
      <c r="X4" s="8">
        <v>4.0000000000000002E-4</v>
      </c>
      <c r="Y4" s="6">
        <v>5.9999999999999995E-4</v>
      </c>
      <c r="Z4" s="6">
        <v>8.9999999999999998E-4</v>
      </c>
    </row>
    <row r="5" spans="1:26" x14ac:dyDescent="0.2">
      <c r="A5" s="2">
        <v>40</v>
      </c>
      <c r="B5" s="9">
        <v>2.4000000000000001E-4</v>
      </c>
      <c r="C5" s="9"/>
      <c r="D5" s="9">
        <v>2.9999999999999997E-4</v>
      </c>
      <c r="E5" s="9"/>
      <c r="F5" s="9"/>
      <c r="G5" s="10"/>
      <c r="H5" s="3">
        <v>40</v>
      </c>
      <c r="I5" s="11">
        <v>6.9999999999999999E-4</v>
      </c>
      <c r="J5" s="11"/>
      <c r="K5" s="11">
        <v>8.9999999999999998E-4</v>
      </c>
      <c r="L5" s="11"/>
      <c r="M5" s="11"/>
      <c r="N5" s="12"/>
      <c r="O5" s="5">
        <v>63</v>
      </c>
      <c r="P5" s="13">
        <v>1.8E-3</v>
      </c>
      <c r="Q5" s="13">
        <v>2.3E-3</v>
      </c>
      <c r="R5" s="13">
        <v>3.7000000000000002E-3</v>
      </c>
      <c r="T5" s="6">
        <v>32</v>
      </c>
      <c r="U5" s="6">
        <v>1.25</v>
      </c>
      <c r="V5" s="6">
        <v>2.9999999999999997E-4</v>
      </c>
      <c r="W5" s="6">
        <v>8.0000000000000004E-4</v>
      </c>
      <c r="X5" s="6">
        <v>8.0000000000000004E-4</v>
      </c>
      <c r="Y5" s="6">
        <v>1E-3</v>
      </c>
      <c r="Z5" s="6">
        <v>1.6000000000000001E-3</v>
      </c>
    </row>
    <row r="6" spans="1:26" x14ac:dyDescent="0.2">
      <c r="A6" s="2">
        <v>55</v>
      </c>
      <c r="B6" s="9">
        <v>4.8000000000000001E-4</v>
      </c>
      <c r="C6" s="9"/>
      <c r="D6" s="9">
        <v>5.4000000000000001E-4</v>
      </c>
      <c r="E6" s="9"/>
      <c r="F6" s="9"/>
      <c r="G6" s="10"/>
      <c r="H6" s="3">
        <v>55</v>
      </c>
      <c r="I6" s="11">
        <v>1.4E-3</v>
      </c>
      <c r="J6" s="11"/>
      <c r="K6" s="11">
        <v>1.6000000000000001E-3</v>
      </c>
      <c r="L6" s="11"/>
      <c r="M6" s="11"/>
      <c r="N6" s="12"/>
      <c r="O6" s="5">
        <v>75</v>
      </c>
      <c r="P6" s="13">
        <v>2.5000000000000001E-3</v>
      </c>
      <c r="Q6" s="13">
        <v>3.3E-3</v>
      </c>
      <c r="R6" s="13">
        <v>5.1999999999999998E-3</v>
      </c>
      <c r="T6" s="6">
        <v>40</v>
      </c>
      <c r="U6" s="6">
        <v>1.5</v>
      </c>
      <c r="V6" s="6">
        <v>4.0000000000000002E-4</v>
      </c>
      <c r="W6" s="6">
        <v>1.1000000000000001E-3</v>
      </c>
      <c r="X6" s="6">
        <v>1.1000000000000001E-3</v>
      </c>
      <c r="Y6" s="6">
        <v>1.4E-3</v>
      </c>
      <c r="Z6" s="6">
        <v>2.2000000000000001E-3</v>
      </c>
    </row>
    <row r="7" spans="1:26" x14ac:dyDescent="0.2">
      <c r="A7" s="2">
        <v>63</v>
      </c>
      <c r="B7" s="9">
        <v>6.3000000000000003E-4</v>
      </c>
      <c r="C7" s="9">
        <v>6.8000000000000005E-4</v>
      </c>
      <c r="D7" s="9">
        <v>7.2000000000000005E-4</v>
      </c>
      <c r="E7" s="9"/>
      <c r="F7" s="9"/>
      <c r="G7" s="10"/>
      <c r="H7" s="3">
        <v>63</v>
      </c>
      <c r="I7" s="11">
        <v>1.8E-3</v>
      </c>
      <c r="J7" s="11">
        <v>2E-3</v>
      </c>
      <c r="K7" s="11">
        <v>2.2000000000000001E-3</v>
      </c>
      <c r="L7" s="11"/>
      <c r="M7" s="11"/>
      <c r="N7" s="12"/>
      <c r="O7" s="5">
        <v>90</v>
      </c>
      <c r="P7" s="13">
        <v>3.5999999999999999E-3</v>
      </c>
      <c r="Q7" s="13">
        <v>4.7999999999999996E-3</v>
      </c>
      <c r="R7" s="13">
        <v>7.4999999999999997E-3</v>
      </c>
      <c r="T7" s="6">
        <v>50</v>
      </c>
      <c r="U7" s="6">
        <v>2</v>
      </c>
      <c r="V7" s="6">
        <v>6.9999999999999999E-4</v>
      </c>
      <c r="W7" s="6">
        <v>1.8E-3</v>
      </c>
      <c r="X7" s="6">
        <v>1.6999999999999999E-3</v>
      </c>
      <c r="Y7" s="6">
        <v>2.3E-3</v>
      </c>
      <c r="Z7" s="6">
        <v>3.5999999999999999E-3</v>
      </c>
    </row>
    <row r="8" spans="1:26" x14ac:dyDescent="0.2">
      <c r="A8" s="2">
        <v>75</v>
      </c>
      <c r="B8" s="9">
        <v>8.9999999999999998E-4</v>
      </c>
      <c r="C8" s="9">
        <v>9.6000000000000002E-4</v>
      </c>
      <c r="D8" s="9">
        <v>1.0200000000000001E-3</v>
      </c>
      <c r="E8" s="9"/>
      <c r="F8" s="9"/>
      <c r="G8" s="10"/>
      <c r="H8" s="3">
        <v>75</v>
      </c>
      <c r="I8" s="11">
        <v>2.5000000000000001E-3</v>
      </c>
      <c r="J8" s="11">
        <v>2.8E-3</v>
      </c>
      <c r="K8" s="11">
        <v>3.0999999999999999E-3</v>
      </c>
      <c r="L8" s="11"/>
      <c r="M8" s="11"/>
      <c r="N8" s="12"/>
      <c r="O8" s="5">
        <v>110</v>
      </c>
      <c r="P8" s="13">
        <v>5.3E-3</v>
      </c>
      <c r="Q8" s="13">
        <v>7.1000000000000004E-3</v>
      </c>
      <c r="R8" s="13">
        <v>1.11E-2</v>
      </c>
      <c r="T8" s="6">
        <v>80</v>
      </c>
      <c r="U8" s="6">
        <v>3</v>
      </c>
      <c r="V8" s="6">
        <v>1.6000000000000001E-3</v>
      </c>
      <c r="W8" s="6">
        <v>4.3E-3</v>
      </c>
      <c r="X8" s="6">
        <v>4.1000000000000003E-3</v>
      </c>
      <c r="Y8" s="6">
        <v>5.4999999999999997E-3</v>
      </c>
      <c r="Z8" s="6">
        <v>8.6E-3</v>
      </c>
    </row>
    <row r="9" spans="1:26" x14ac:dyDescent="0.2">
      <c r="A9" s="2">
        <v>90</v>
      </c>
      <c r="B9" s="9">
        <v>1.2899999999999999E-3</v>
      </c>
      <c r="C9" s="9"/>
      <c r="D9" s="9">
        <v>1.5E-3</v>
      </c>
      <c r="E9" s="9">
        <v>1.56E-3</v>
      </c>
      <c r="F9" s="9"/>
      <c r="G9" s="10"/>
      <c r="H9" s="3">
        <v>90</v>
      </c>
      <c r="I9" s="11">
        <v>3.7000000000000002E-3</v>
      </c>
      <c r="J9" s="11"/>
      <c r="K9" s="11">
        <v>4.4000000000000003E-3</v>
      </c>
      <c r="L9" s="11">
        <v>4.5999999999999999E-3</v>
      </c>
      <c r="M9" s="11"/>
      <c r="N9" s="12"/>
      <c r="O9" s="5">
        <v>125</v>
      </c>
      <c r="P9" s="13">
        <v>6.8999999999999999E-3</v>
      </c>
      <c r="Q9" s="13">
        <v>9.1999999999999998E-3</v>
      </c>
      <c r="R9" s="13">
        <v>1.44E-2</v>
      </c>
      <c r="T9" s="6">
        <v>100</v>
      </c>
      <c r="U9" s="6">
        <v>4</v>
      </c>
      <c r="V9" s="6">
        <v>2.8E-3</v>
      </c>
      <c r="W9" s="6">
        <v>7.4000000000000003E-3</v>
      </c>
      <c r="X9" s="6">
        <v>7.1000000000000004E-3</v>
      </c>
      <c r="Y9" s="6">
        <v>9.4000000000000004E-3</v>
      </c>
      <c r="Z9" s="6">
        <v>1.47E-2</v>
      </c>
    </row>
    <row r="10" spans="1:26" x14ac:dyDescent="0.2">
      <c r="A10" s="2">
        <v>110</v>
      </c>
      <c r="B10" s="9"/>
      <c r="C10" s="9"/>
      <c r="D10" s="9"/>
      <c r="E10" s="9">
        <v>2.3400000000000001E-3</v>
      </c>
      <c r="F10" s="9"/>
      <c r="G10" s="10"/>
      <c r="H10" s="3">
        <v>110</v>
      </c>
      <c r="I10" s="11"/>
      <c r="J10" s="11"/>
      <c r="K10" s="11"/>
      <c r="L10" s="11">
        <v>6.7999999999999996E-3</v>
      </c>
      <c r="M10" s="11"/>
      <c r="N10" s="12"/>
      <c r="O10" s="5">
        <v>140</v>
      </c>
      <c r="P10" s="13">
        <v>8.6999999999999994E-3</v>
      </c>
      <c r="Q10" s="13">
        <v>1.15E-2</v>
      </c>
      <c r="R10" s="13">
        <v>1.7999999999999999E-2</v>
      </c>
      <c r="T10" s="6">
        <v>150</v>
      </c>
      <c r="U10" s="6">
        <v>6</v>
      </c>
      <c r="V10" s="6">
        <v>6.4000000000000003E-3</v>
      </c>
      <c r="W10" s="6">
        <v>1.7100000000000001E-2</v>
      </c>
      <c r="X10" s="6">
        <v>1.6400000000000001E-2</v>
      </c>
      <c r="Y10" s="6">
        <v>2.18E-2</v>
      </c>
      <c r="Z10" s="6">
        <v>3.4099999999999998E-2</v>
      </c>
    </row>
    <row r="11" spans="1:26" x14ac:dyDescent="0.2">
      <c r="A11" s="2">
        <v>125</v>
      </c>
      <c r="B11" s="9">
        <v>2.4599999999999999E-3</v>
      </c>
      <c r="C11" s="9"/>
      <c r="D11" s="9">
        <v>2.8800000000000002E-3</v>
      </c>
      <c r="E11" s="9"/>
      <c r="F11" s="9"/>
      <c r="G11" s="10"/>
      <c r="H11" s="3">
        <v>125</v>
      </c>
      <c r="I11" s="11">
        <v>7.1999999999999998E-3</v>
      </c>
      <c r="J11" s="11"/>
      <c r="K11" s="11">
        <v>8.5000000000000006E-3</v>
      </c>
      <c r="L11" s="11"/>
      <c r="M11" s="11"/>
      <c r="N11" s="12"/>
      <c r="O11" s="5">
        <v>160</v>
      </c>
      <c r="P11" s="13">
        <v>1.1299999999999999E-2</v>
      </c>
      <c r="Q11" s="13">
        <v>1.5100000000000001E-2</v>
      </c>
      <c r="R11" s="13">
        <v>2.3599999999999999E-2</v>
      </c>
      <c r="T11" s="6">
        <v>200</v>
      </c>
      <c r="U11" s="6">
        <v>8</v>
      </c>
      <c r="V11" s="6">
        <v>1.11E-2</v>
      </c>
      <c r="W11" s="6">
        <v>2.9499999999999998E-2</v>
      </c>
      <c r="X11" s="6">
        <v>2.81E-2</v>
      </c>
      <c r="Y11" s="6">
        <v>3.7499999999999999E-2</v>
      </c>
      <c r="Z11" s="6">
        <v>5.8599999999999999E-2</v>
      </c>
    </row>
    <row r="12" spans="1:26" x14ac:dyDescent="0.2">
      <c r="A12" s="2">
        <v>140</v>
      </c>
      <c r="B12" s="9"/>
      <c r="C12" s="9"/>
      <c r="D12" s="9">
        <v>3.5999999999999999E-3</v>
      </c>
      <c r="E12" s="9"/>
      <c r="F12" s="9">
        <v>3.9300000000000003E-3</v>
      </c>
      <c r="G12" s="10"/>
      <c r="H12" s="3">
        <v>140</v>
      </c>
      <c r="I12" s="11"/>
      <c r="J12" s="11"/>
      <c r="K12" s="11">
        <v>1.06E-2</v>
      </c>
      <c r="L12" s="11"/>
      <c r="M12" s="11">
        <v>1.15E-2</v>
      </c>
      <c r="N12" s="12"/>
      <c r="O12" s="5">
        <v>180</v>
      </c>
      <c r="P12" s="13">
        <v>1.43E-2</v>
      </c>
      <c r="Q12" s="13">
        <v>1.9099999999999999E-2</v>
      </c>
      <c r="R12" s="13">
        <v>2.98E-2</v>
      </c>
      <c r="T12" s="6">
        <v>250</v>
      </c>
      <c r="U12" s="6">
        <v>10</v>
      </c>
      <c r="V12" s="6">
        <v>1.7600000000000001E-2</v>
      </c>
      <c r="W12" s="6">
        <v>4.6899999999999997E-2</v>
      </c>
      <c r="X12" s="6">
        <v>4.4699999999999997E-2</v>
      </c>
      <c r="Y12" s="6">
        <v>5.9700000000000003E-2</v>
      </c>
      <c r="Z12" s="6">
        <v>9.3200000000000005E-2</v>
      </c>
    </row>
    <row r="13" spans="1:26" x14ac:dyDescent="0.2">
      <c r="A13" s="2">
        <v>160</v>
      </c>
      <c r="B13" s="9"/>
      <c r="C13" s="9"/>
      <c r="D13" s="9">
        <v>4.7099999999999998E-3</v>
      </c>
      <c r="E13" s="9"/>
      <c r="F13" s="9">
        <v>5.13E-3</v>
      </c>
      <c r="G13" s="10"/>
      <c r="H13" s="3">
        <v>160</v>
      </c>
      <c r="I13" s="11"/>
      <c r="J13" s="11"/>
      <c r="K13" s="11">
        <v>1.3899999999999999E-2</v>
      </c>
      <c r="L13" s="11"/>
      <c r="M13" s="11">
        <v>1.5100000000000001E-2</v>
      </c>
      <c r="N13" s="12"/>
      <c r="O13" s="5">
        <v>200</v>
      </c>
      <c r="P13" s="13">
        <v>1.77E-2</v>
      </c>
      <c r="Q13" s="13">
        <v>2.3599999999999999E-2</v>
      </c>
      <c r="R13" s="13">
        <v>3.6799999999999999E-2</v>
      </c>
      <c r="T13" s="6">
        <v>300</v>
      </c>
      <c r="U13" s="6">
        <v>12</v>
      </c>
      <c r="V13" s="6">
        <v>2.5100000000000001E-2</v>
      </c>
      <c r="W13" s="14">
        <v>6.7000000000000004E-2</v>
      </c>
      <c r="X13" s="6">
        <v>6.3899999999999998E-2</v>
      </c>
      <c r="Y13" s="6">
        <v>8.5300000000000001E-2</v>
      </c>
      <c r="Z13" s="6">
        <v>0.13320000000000001</v>
      </c>
    </row>
    <row r="14" spans="1:26" x14ac:dyDescent="0.2">
      <c r="A14" s="2">
        <v>180</v>
      </c>
      <c r="B14" s="9">
        <v>5.1000000000000004E-3</v>
      </c>
      <c r="C14" s="9"/>
      <c r="D14" s="9">
        <v>5.94E-3</v>
      </c>
      <c r="E14" s="9"/>
      <c r="F14" s="9"/>
      <c r="G14" s="10"/>
      <c r="H14" s="3">
        <v>180</v>
      </c>
      <c r="I14" s="11">
        <v>1.4999999999999999E-2</v>
      </c>
      <c r="J14" s="11"/>
      <c r="K14" s="11">
        <v>1.7600000000000001E-2</v>
      </c>
      <c r="L14" s="11"/>
      <c r="M14" s="11"/>
      <c r="N14" s="12"/>
      <c r="O14" s="5">
        <v>213</v>
      </c>
      <c r="P14" s="13">
        <v>0.02</v>
      </c>
      <c r="Q14" s="13">
        <v>2.6700000000000002E-2</v>
      </c>
      <c r="R14" s="13">
        <v>4.1700000000000001E-2</v>
      </c>
      <c r="T14" s="6">
        <v>400</v>
      </c>
      <c r="U14" s="6">
        <v>16</v>
      </c>
      <c r="V14" s="6">
        <v>3.95E-2</v>
      </c>
      <c r="W14" s="6">
        <v>0.10539999999999999</v>
      </c>
      <c r="X14" s="6">
        <v>0.10059999999999999</v>
      </c>
      <c r="Y14" s="6">
        <v>0.1341</v>
      </c>
      <c r="Z14" s="6">
        <v>0.20949999999999999</v>
      </c>
    </row>
    <row r="15" spans="1:26" x14ac:dyDescent="0.2">
      <c r="A15" s="2">
        <v>200</v>
      </c>
      <c r="B15" s="9"/>
      <c r="C15" s="9"/>
      <c r="D15" s="9">
        <v>7.3499999999999998E-3</v>
      </c>
      <c r="E15" s="9"/>
      <c r="F15" s="9">
        <v>8.0400000000000003E-3</v>
      </c>
      <c r="G15" s="10"/>
      <c r="H15" s="3">
        <v>200</v>
      </c>
      <c r="I15" s="11"/>
      <c r="J15" s="11"/>
      <c r="K15" s="11">
        <v>2.1700000000000001E-2</v>
      </c>
      <c r="L15" s="11"/>
      <c r="M15" s="11">
        <v>2.35E-2</v>
      </c>
      <c r="N15" s="12"/>
      <c r="O15" s="5">
        <v>250</v>
      </c>
      <c r="P15" s="13">
        <v>2.76E-2</v>
      </c>
      <c r="Q15" s="13">
        <v>3.6799999999999999E-2</v>
      </c>
      <c r="R15" s="13">
        <v>5.7500000000000002E-2</v>
      </c>
      <c r="T15" s="6">
        <v>450</v>
      </c>
      <c r="U15" s="6">
        <v>18</v>
      </c>
      <c r="V15" s="6">
        <v>5.04E-2</v>
      </c>
      <c r="W15" s="6">
        <v>0.13439999999999999</v>
      </c>
      <c r="X15" s="6">
        <v>0.1283</v>
      </c>
      <c r="Y15" s="6">
        <v>0.1711</v>
      </c>
      <c r="Z15" s="6">
        <v>0.26729999999999998</v>
      </c>
    </row>
    <row r="16" spans="1:26" x14ac:dyDescent="0.2">
      <c r="A16" s="2">
        <v>213</v>
      </c>
      <c r="B16" s="9"/>
      <c r="C16" s="9"/>
      <c r="D16" s="9"/>
      <c r="E16" s="9"/>
      <c r="F16" s="9">
        <v>9.1199999999999996E-3</v>
      </c>
      <c r="G16" s="10"/>
      <c r="H16" s="3">
        <v>213</v>
      </c>
      <c r="I16" s="11"/>
      <c r="J16" s="11"/>
      <c r="K16" s="11"/>
      <c r="L16" s="11"/>
      <c r="M16" s="11">
        <v>2.6700000000000002E-2</v>
      </c>
      <c r="N16" s="12"/>
      <c r="O16" s="5">
        <v>268</v>
      </c>
      <c r="P16" s="13">
        <v>3.1699999999999999E-2</v>
      </c>
      <c r="Q16" s="13">
        <v>4.2299999999999997E-2</v>
      </c>
      <c r="R16" s="13">
        <v>6.6100000000000006E-2</v>
      </c>
      <c r="T16" s="6">
        <v>600</v>
      </c>
      <c r="U16" s="6">
        <v>24</v>
      </c>
      <c r="V16" s="6">
        <v>9.1499999999999998E-2</v>
      </c>
      <c r="W16" s="6">
        <v>0.24390000000000001</v>
      </c>
      <c r="X16" s="6">
        <v>0.23280000000000001</v>
      </c>
      <c r="Y16" s="6">
        <v>0.31040000000000001</v>
      </c>
      <c r="Z16" s="6">
        <v>0.48499999999999999</v>
      </c>
    </row>
    <row r="17" spans="1:26" x14ac:dyDescent="0.2">
      <c r="A17" s="2">
        <v>225</v>
      </c>
      <c r="B17" s="9"/>
      <c r="C17" s="9"/>
      <c r="D17" s="9"/>
      <c r="E17" s="9"/>
      <c r="F17" s="9">
        <v>1.017E-2</v>
      </c>
      <c r="G17" s="10"/>
      <c r="H17" s="3">
        <v>225</v>
      </c>
      <c r="I17" s="11"/>
      <c r="J17" s="11"/>
      <c r="K17" s="11"/>
      <c r="L17" s="11"/>
      <c r="M17" s="11">
        <v>2.98E-2</v>
      </c>
      <c r="N17" s="12"/>
      <c r="O17" s="5">
        <v>280</v>
      </c>
      <c r="P17" s="13">
        <v>3.4599999999999999E-2</v>
      </c>
      <c r="Q17" s="13">
        <v>4.6199999999999998E-2</v>
      </c>
      <c r="R17" s="13">
        <v>7.2099999999999997E-2</v>
      </c>
      <c r="T17" s="6">
        <v>750</v>
      </c>
      <c r="U17" s="6">
        <v>30</v>
      </c>
      <c r="V17" s="6">
        <v>0.1431</v>
      </c>
      <c r="W17" s="6">
        <v>0.38159999999999999</v>
      </c>
      <c r="X17" s="6">
        <v>0.36420000000000002</v>
      </c>
      <c r="Y17" s="6">
        <v>0.48559999999999998</v>
      </c>
      <c r="Z17" s="6">
        <v>0.75880000000000003</v>
      </c>
    </row>
    <row r="18" spans="1:26" x14ac:dyDescent="0.2">
      <c r="A18" s="2">
        <v>250</v>
      </c>
      <c r="B18" s="9">
        <v>9.8700000000000003E-3</v>
      </c>
      <c r="C18" s="9"/>
      <c r="D18" s="9">
        <v>1.146E-2</v>
      </c>
      <c r="E18" s="9">
        <v>1.206E-2</v>
      </c>
      <c r="F18" s="9"/>
      <c r="G18" s="10"/>
      <c r="H18" s="3">
        <v>250</v>
      </c>
      <c r="I18" s="11">
        <v>2.8899999999999999E-2</v>
      </c>
      <c r="J18" s="11"/>
      <c r="K18" s="11">
        <v>3.39E-2</v>
      </c>
      <c r="L18" s="11">
        <v>3.5400000000000001E-2</v>
      </c>
      <c r="M18" s="11"/>
      <c r="N18" s="12"/>
      <c r="O18" s="5">
        <v>315</v>
      </c>
      <c r="P18" s="13">
        <v>4.3799999999999999E-2</v>
      </c>
      <c r="Q18" s="13">
        <v>5.8400000000000001E-2</v>
      </c>
      <c r="R18" s="13">
        <v>9.1300000000000006E-2</v>
      </c>
      <c r="T18" s="6">
        <v>900</v>
      </c>
      <c r="U18" s="6">
        <v>36</v>
      </c>
      <c r="V18" s="6">
        <v>0.2054</v>
      </c>
      <c r="W18" s="6">
        <v>0.54779999999999995</v>
      </c>
      <c r="X18" s="6">
        <v>0.52290000000000003</v>
      </c>
      <c r="Y18" s="6">
        <v>0.69720000000000004</v>
      </c>
      <c r="Z18" s="6">
        <v>1.0892999999999999</v>
      </c>
    </row>
    <row r="19" spans="1:26" x14ac:dyDescent="0.2">
      <c r="A19" s="2">
        <v>268</v>
      </c>
      <c r="B19" s="9"/>
      <c r="C19" s="9"/>
      <c r="D19" s="9"/>
      <c r="E19" s="9"/>
      <c r="F19" s="9">
        <v>1.443E-2</v>
      </c>
      <c r="G19" s="10"/>
      <c r="H19" s="3">
        <v>268</v>
      </c>
      <c r="I19" s="11"/>
      <c r="J19" s="11"/>
      <c r="K19" s="11"/>
      <c r="L19" s="11"/>
      <c r="M19" s="11">
        <v>4.2299999999999997E-2</v>
      </c>
      <c r="N19" s="12"/>
      <c r="O19" s="5">
        <v>355</v>
      </c>
      <c r="P19" s="13">
        <v>5.57E-2</v>
      </c>
      <c r="Q19" s="13">
        <v>7.4200000000000002E-2</v>
      </c>
      <c r="R19" s="13">
        <v>0.11600000000000001</v>
      </c>
      <c r="T19" s="6">
        <v>1050</v>
      </c>
      <c r="U19" s="6">
        <v>42</v>
      </c>
      <c r="V19" s="6">
        <v>0.28120000000000001</v>
      </c>
      <c r="W19" s="6">
        <v>0.74990000000000001</v>
      </c>
      <c r="X19" s="6">
        <v>0.71589999999999998</v>
      </c>
      <c r="Y19" s="6">
        <v>0.95450000000000002</v>
      </c>
      <c r="Z19" s="6">
        <v>1.4914000000000001</v>
      </c>
    </row>
    <row r="20" spans="1:26" x14ac:dyDescent="0.2">
      <c r="A20" s="2">
        <v>280</v>
      </c>
      <c r="B20" s="9"/>
      <c r="C20" s="9"/>
      <c r="D20" s="9"/>
      <c r="E20" s="9"/>
      <c r="F20" s="9">
        <v>1.575E-2</v>
      </c>
      <c r="G20" s="10"/>
      <c r="H20" s="3">
        <v>280</v>
      </c>
      <c r="I20" s="11"/>
      <c r="J20" s="11"/>
      <c r="K20" s="11"/>
      <c r="L20" s="11"/>
      <c r="M20" s="11">
        <v>4.6199999999999998E-2</v>
      </c>
      <c r="N20" s="12"/>
      <c r="O20" s="5">
        <v>400</v>
      </c>
      <c r="P20" s="13">
        <v>7.0699999999999999E-2</v>
      </c>
      <c r="Q20" s="13">
        <v>9.4200000000000006E-2</v>
      </c>
      <c r="R20" s="13">
        <v>0.1472</v>
      </c>
      <c r="T20" s="6">
        <v>1200</v>
      </c>
      <c r="U20" s="6">
        <v>48</v>
      </c>
      <c r="V20" s="6">
        <v>0.36730000000000002</v>
      </c>
      <c r="W20" s="6">
        <v>0.97950000000000004</v>
      </c>
      <c r="X20" s="6">
        <v>0.93500000000000005</v>
      </c>
      <c r="Y20" s="6">
        <v>1.2466999999999999</v>
      </c>
      <c r="Z20" s="6">
        <v>1.9479</v>
      </c>
    </row>
    <row r="21" spans="1:26" ht="15" customHeight="1" x14ac:dyDescent="0.2">
      <c r="A21" s="2">
        <v>315</v>
      </c>
      <c r="B21" s="9">
        <v>1.566E-2</v>
      </c>
      <c r="C21" s="9"/>
      <c r="D21" s="9">
        <v>1.821E-2</v>
      </c>
      <c r="E21" s="9">
        <v>1.9140000000000001E-2</v>
      </c>
      <c r="F21" s="9">
        <v>1.992E-2</v>
      </c>
      <c r="G21" s="10"/>
      <c r="H21" s="3">
        <v>315</v>
      </c>
      <c r="I21" s="11">
        <v>4.5900000000000003E-2</v>
      </c>
      <c r="J21" s="11"/>
      <c r="K21" s="11">
        <v>5.3900000000000003E-2</v>
      </c>
      <c r="L21" s="11">
        <v>5.6099999999999997E-2</v>
      </c>
      <c r="M21" s="11">
        <v>5.8400000000000001E-2</v>
      </c>
      <c r="N21" s="12"/>
      <c r="O21" s="5">
        <v>450</v>
      </c>
      <c r="P21" s="13">
        <v>8.9399999999999993E-2</v>
      </c>
      <c r="Q21" s="13">
        <v>0.1192</v>
      </c>
      <c r="R21" s="13">
        <v>0.18629999999999999</v>
      </c>
      <c r="T21" s="58" t="s">
        <v>19</v>
      </c>
      <c r="U21" s="58"/>
      <c r="V21" s="58"/>
      <c r="W21" s="58"/>
      <c r="X21" s="58"/>
      <c r="Y21" s="58"/>
      <c r="Z21" s="58"/>
    </row>
    <row r="22" spans="1:26" x14ac:dyDescent="0.2">
      <c r="A22" s="2">
        <v>355</v>
      </c>
      <c r="B22" s="9">
        <v>1.9890000000000001E-2</v>
      </c>
      <c r="C22" s="9"/>
      <c r="D22" s="9">
        <v>2.3130000000000001E-2</v>
      </c>
      <c r="E22" s="9">
        <v>2.4299999999999999E-2</v>
      </c>
      <c r="F22" s="9"/>
      <c r="G22" s="10"/>
      <c r="H22" s="3">
        <v>355</v>
      </c>
      <c r="I22" s="11">
        <v>5.8299999999999998E-2</v>
      </c>
      <c r="J22" s="11"/>
      <c r="K22" s="11">
        <v>6.8400000000000002E-2</v>
      </c>
      <c r="L22" s="11">
        <v>7.1300000000000002E-2</v>
      </c>
      <c r="M22" s="11"/>
      <c r="N22" s="12"/>
      <c r="O22" s="5">
        <v>469</v>
      </c>
      <c r="P22" s="13">
        <v>9.7100000000000006E-2</v>
      </c>
      <c r="Q22" s="13">
        <v>0.1295</v>
      </c>
      <c r="R22" s="13">
        <v>0.2024</v>
      </c>
      <c r="T22" s="58"/>
      <c r="U22" s="58"/>
      <c r="V22" s="58"/>
      <c r="W22" s="58"/>
      <c r="X22" s="58"/>
      <c r="Y22" s="58"/>
      <c r="Z22" s="58"/>
    </row>
    <row r="23" spans="1:26" x14ac:dyDescent="0.2">
      <c r="A23" s="2">
        <v>400</v>
      </c>
      <c r="B23" s="9">
        <v>2.5229999999999999E-2</v>
      </c>
      <c r="C23" s="9"/>
      <c r="D23" s="9">
        <v>2.9340000000000001E-2</v>
      </c>
      <c r="E23" s="9">
        <v>3.0870000000000002E-2</v>
      </c>
      <c r="F23" s="9"/>
      <c r="G23" s="10"/>
      <c r="H23" s="3">
        <v>400</v>
      </c>
      <c r="I23" s="11">
        <v>7.3999999999999996E-2</v>
      </c>
      <c r="J23" s="11"/>
      <c r="K23" s="11">
        <v>8.6900000000000005E-2</v>
      </c>
      <c r="L23" s="11">
        <v>9.0499999999999997E-2</v>
      </c>
      <c r="M23" s="11"/>
      <c r="N23" s="12"/>
      <c r="O23" s="5">
        <v>500</v>
      </c>
      <c r="P23" s="13">
        <v>0.1104</v>
      </c>
      <c r="Q23" s="13">
        <v>0.1472</v>
      </c>
      <c r="R23" s="13">
        <v>0.23</v>
      </c>
      <c r="T23" s="58"/>
      <c r="U23" s="58"/>
      <c r="V23" s="58"/>
      <c r="W23" s="58"/>
      <c r="X23" s="58"/>
      <c r="Y23" s="58"/>
      <c r="Z23" s="58"/>
    </row>
    <row r="24" spans="1:26" x14ac:dyDescent="0.2">
      <c r="A24" s="2">
        <v>440</v>
      </c>
      <c r="B24" s="9"/>
      <c r="C24" s="9"/>
      <c r="D24" s="9"/>
      <c r="E24" s="9"/>
      <c r="F24" s="9">
        <v>3.8879999999999998E-2</v>
      </c>
      <c r="G24" s="10"/>
      <c r="H24" s="3">
        <v>440</v>
      </c>
      <c r="I24" s="11"/>
      <c r="J24" s="11"/>
      <c r="K24" s="11"/>
      <c r="L24" s="11"/>
      <c r="M24" s="11">
        <v>0.114</v>
      </c>
      <c r="N24" s="12"/>
      <c r="O24" s="15">
        <v>630</v>
      </c>
      <c r="P24" s="16">
        <v>0.17530000000000001</v>
      </c>
      <c r="Q24" s="16">
        <v>0.23369999999999999</v>
      </c>
      <c r="R24" s="16">
        <v>0.36520000000000002</v>
      </c>
      <c r="T24" s="58"/>
      <c r="U24" s="58"/>
      <c r="V24" s="58"/>
      <c r="W24" s="58"/>
      <c r="X24" s="58"/>
      <c r="Y24" s="58"/>
      <c r="Z24" s="58"/>
    </row>
    <row r="25" spans="1:26" x14ac:dyDescent="0.2">
      <c r="A25" s="2">
        <v>450</v>
      </c>
      <c r="B25" s="9">
        <v>3.1949999999999999E-2</v>
      </c>
      <c r="C25" s="9"/>
      <c r="D25" s="9">
        <v>3.7139999999999999E-2</v>
      </c>
      <c r="E25" s="9">
        <v>3.9059999999999997E-2</v>
      </c>
      <c r="F25" s="9"/>
      <c r="G25" s="10"/>
      <c r="H25" s="3">
        <v>450</v>
      </c>
      <c r="I25" s="11">
        <v>9.3700000000000006E-2</v>
      </c>
      <c r="J25" s="11"/>
      <c r="K25" s="11">
        <v>0.11</v>
      </c>
      <c r="L25" s="11">
        <v>0.11459999999999999</v>
      </c>
      <c r="M25" s="11"/>
      <c r="N25" s="12"/>
      <c r="O25" s="59" t="s">
        <v>20</v>
      </c>
      <c r="P25" s="59"/>
      <c r="Q25" s="59"/>
      <c r="R25" s="59"/>
    </row>
    <row r="26" spans="1:26" x14ac:dyDescent="0.2">
      <c r="A26" s="2">
        <v>469</v>
      </c>
      <c r="B26" s="9"/>
      <c r="C26" s="9"/>
      <c r="D26" s="9"/>
      <c r="E26" s="9">
        <v>4.2419999999999999E-2</v>
      </c>
      <c r="F26" s="9"/>
      <c r="G26" s="10"/>
      <c r="H26" s="3">
        <v>469</v>
      </c>
      <c r="I26" s="11"/>
      <c r="J26" s="11"/>
      <c r="K26" s="11"/>
      <c r="L26" s="11">
        <v>0.1244</v>
      </c>
      <c r="M26" s="11"/>
      <c r="N26" s="12"/>
      <c r="O26" s="59"/>
      <c r="P26" s="59"/>
      <c r="Q26" s="59"/>
      <c r="R26" s="59"/>
    </row>
    <row r="27" spans="1:26" x14ac:dyDescent="0.2">
      <c r="A27" s="2">
        <v>500</v>
      </c>
      <c r="B27" s="9">
        <v>3.9419999999999997E-2</v>
      </c>
      <c r="C27" s="9"/>
      <c r="D27" s="9">
        <v>4.5870000000000001E-2</v>
      </c>
      <c r="E27" s="9">
        <v>4.8210000000000003E-2</v>
      </c>
      <c r="F27" s="9"/>
      <c r="G27" s="10"/>
      <c r="H27" s="3">
        <v>500</v>
      </c>
      <c r="I27" s="11">
        <v>0.1157</v>
      </c>
      <c r="J27" s="11"/>
      <c r="K27" s="11">
        <v>0.13569999999999999</v>
      </c>
      <c r="L27" s="11">
        <v>0.1414</v>
      </c>
      <c r="M27" s="11"/>
      <c r="N27" s="12"/>
      <c r="O27" s="59"/>
      <c r="P27" s="59"/>
      <c r="Q27" s="59"/>
      <c r="R27" s="59"/>
    </row>
    <row r="28" spans="1:26" ht="15" customHeight="1" x14ac:dyDescent="0.2">
      <c r="A28" s="2">
        <v>560</v>
      </c>
      <c r="B28" s="9"/>
      <c r="C28" s="9"/>
      <c r="D28" s="9"/>
      <c r="E28" s="9"/>
      <c r="F28" s="9">
        <v>6.2969999999999998E-2</v>
      </c>
      <c r="G28" s="10"/>
      <c r="H28" s="3">
        <v>560</v>
      </c>
      <c r="I28" s="11"/>
      <c r="J28" s="11"/>
      <c r="K28" s="11"/>
      <c r="L28" s="11"/>
      <c r="M28" s="11">
        <v>0.1847</v>
      </c>
      <c r="N28" s="12"/>
      <c r="O28" s="59"/>
      <c r="P28" s="59"/>
      <c r="Q28" s="59"/>
      <c r="R28" s="59"/>
    </row>
    <row r="29" spans="1:26" x14ac:dyDescent="0.2">
      <c r="A29" s="17">
        <v>630</v>
      </c>
      <c r="B29" s="18">
        <v>6.2609999999999999E-2</v>
      </c>
      <c r="C29" s="18"/>
      <c r="D29" s="18">
        <v>7.281E-2</v>
      </c>
      <c r="E29" s="18">
        <v>7.6560000000000003E-2</v>
      </c>
      <c r="F29" s="18"/>
      <c r="G29" s="10"/>
      <c r="H29" s="19">
        <v>630</v>
      </c>
      <c r="I29" s="20">
        <v>0.18360000000000001</v>
      </c>
      <c r="J29" s="20"/>
      <c r="K29" s="20">
        <v>0.2155</v>
      </c>
      <c r="L29" s="20">
        <v>0.22459999999999999</v>
      </c>
      <c r="M29" s="20"/>
      <c r="N29" s="12"/>
      <c r="O29" s="59"/>
      <c r="P29" s="59"/>
      <c r="Q29" s="59"/>
      <c r="R29" s="59"/>
    </row>
    <row r="30" spans="1:26" ht="15" customHeight="1" x14ac:dyDescent="0.2">
      <c r="A30" s="60" t="s">
        <v>21</v>
      </c>
      <c r="B30" s="60"/>
      <c r="C30" s="60"/>
      <c r="D30" s="60"/>
      <c r="E30" s="60"/>
      <c r="F30" s="60"/>
      <c r="H30" s="61" t="s">
        <v>22</v>
      </c>
      <c r="I30" s="61"/>
      <c r="J30" s="61"/>
      <c r="K30" s="61"/>
      <c r="L30" s="61"/>
      <c r="M30" s="61"/>
      <c r="N30" s="21"/>
      <c r="O30" s="59"/>
      <c r="P30" s="59"/>
      <c r="Q30" s="59"/>
      <c r="R30" s="59"/>
    </row>
    <row r="31" spans="1:26" x14ac:dyDescent="0.2">
      <c r="A31" s="60"/>
      <c r="B31" s="60"/>
      <c r="C31" s="60"/>
      <c r="D31" s="60"/>
      <c r="E31" s="60"/>
      <c r="F31" s="60"/>
      <c r="H31" s="61"/>
      <c r="I31" s="61"/>
      <c r="J31" s="61"/>
      <c r="K31" s="61"/>
      <c r="L31" s="61"/>
      <c r="M31" s="61"/>
      <c r="N31" s="21"/>
      <c r="O31" s="59"/>
      <c r="P31" s="59"/>
      <c r="Q31" s="59"/>
      <c r="R31" s="59"/>
    </row>
    <row r="32" spans="1:26" x14ac:dyDescent="0.2">
      <c r="H32" s="61"/>
      <c r="I32" s="61"/>
      <c r="J32" s="61"/>
      <c r="K32" s="61"/>
      <c r="L32" s="61"/>
      <c r="M32" s="61"/>
      <c r="N32" s="21"/>
      <c r="O32" s="22"/>
      <c r="P32" s="22"/>
      <c r="Q32" s="22"/>
      <c r="R32" s="22"/>
    </row>
  </sheetData>
  <mergeCells count="8">
    <mergeCell ref="T2:Z2"/>
    <mergeCell ref="T21:Z24"/>
    <mergeCell ref="O25:R31"/>
    <mergeCell ref="A30:F31"/>
    <mergeCell ref="H30:M32"/>
    <mergeCell ref="A2:F2"/>
    <mergeCell ref="H2:M2"/>
    <mergeCell ref="O2:R2"/>
  </mergeCells>
  <pageMargins left="0.25" right="0.25" top="0.75" bottom="0.75" header="0.30000000000000004" footer="0.30000000000000004"/>
  <pageSetup paperSize="9" scale="62"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61"/>
  <sheetViews>
    <sheetView tabSelected="1" topLeftCell="B1" workbookViewId="0">
      <selection activeCell="H5" sqref="H5"/>
    </sheetView>
  </sheetViews>
  <sheetFormatPr defaultRowHeight="15" x14ac:dyDescent="0.2"/>
  <cols>
    <col min="1" max="1" width="3.359375" customWidth="1"/>
    <col min="2" max="3" width="9.14453125" customWidth="1"/>
    <col min="4" max="4" width="10.0859375" customWidth="1"/>
    <col min="5" max="5" width="11.97265625" customWidth="1"/>
    <col min="6" max="6" width="7.53125" hidden="1" customWidth="1"/>
    <col min="7" max="7" width="9.14453125" customWidth="1"/>
    <col min="8" max="8" width="12.64453125" customWidth="1"/>
    <col min="9" max="9" width="0" hidden="1" customWidth="1"/>
    <col min="10" max="10" width="13.31640625" customWidth="1"/>
    <col min="11" max="11" width="0" hidden="1" customWidth="1"/>
    <col min="12" max="12" width="10.625" customWidth="1"/>
    <col min="13" max="13" width="9.14453125" customWidth="1"/>
  </cols>
  <sheetData>
    <row r="2" spans="2:12" x14ac:dyDescent="0.2">
      <c r="B2" s="71" t="s">
        <v>23</v>
      </c>
      <c r="C2" s="71"/>
      <c r="D2" s="71"/>
      <c r="E2" s="71"/>
      <c r="F2" s="71"/>
      <c r="G2" s="71"/>
      <c r="H2" s="71"/>
      <c r="I2" s="71"/>
      <c r="J2" s="71"/>
      <c r="K2" s="71"/>
      <c r="L2" s="71"/>
    </row>
    <row r="3" spans="2:12" ht="34.5" customHeight="1" x14ac:dyDescent="0.2">
      <c r="B3" s="23" t="s">
        <v>24</v>
      </c>
      <c r="C3" s="24" t="s">
        <v>25</v>
      </c>
      <c r="D3" s="24" t="s">
        <v>26</v>
      </c>
      <c r="E3" s="24" t="s">
        <v>27</v>
      </c>
      <c r="F3" s="24"/>
      <c r="G3" s="24" t="s">
        <v>28</v>
      </c>
      <c r="H3" s="24" t="s">
        <v>29</v>
      </c>
      <c r="I3" s="24"/>
      <c r="J3" s="24" t="s">
        <v>30</v>
      </c>
      <c r="K3" s="24"/>
      <c r="L3" s="24" t="s">
        <v>31</v>
      </c>
    </row>
    <row r="4" spans="2:12" x14ac:dyDescent="0.2">
      <c r="B4" s="23">
        <v>315</v>
      </c>
      <c r="C4" s="23">
        <v>2800</v>
      </c>
      <c r="D4" s="23">
        <v>11</v>
      </c>
      <c r="E4" s="56">
        <v>1.933E-2</v>
      </c>
      <c r="F4" s="25">
        <f>C4*E4</f>
        <v>54.124000000000002</v>
      </c>
      <c r="G4" s="23" t="str">
        <f>TEXT(F4/24,"[hh]:mm")</f>
        <v>54:07</v>
      </c>
      <c r="H4" s="23">
        <v>2.2999999999999998</v>
      </c>
      <c r="I4" s="25">
        <f>F4/H4</f>
        <v>23.532173913043483</v>
      </c>
      <c r="J4" s="23" t="str">
        <f>TEXT(I4/24,"[hh]:mm")</f>
        <v>23:31</v>
      </c>
      <c r="K4" s="23">
        <f>F4+I4</f>
        <v>77.656173913043489</v>
      </c>
      <c r="L4" s="23" t="str">
        <f>TEXT(K4/24,"[hh]:mm")</f>
        <v>77:39</v>
      </c>
    </row>
    <row r="6" spans="2:12" x14ac:dyDescent="0.2">
      <c r="B6" s="71" t="s">
        <v>32</v>
      </c>
      <c r="C6" s="71"/>
      <c r="D6" s="71"/>
      <c r="E6" s="71"/>
      <c r="F6" s="71"/>
      <c r="G6" s="71"/>
      <c r="H6" s="71"/>
      <c r="I6" s="71"/>
      <c r="J6" s="71"/>
      <c r="K6" s="71"/>
      <c r="L6" s="71"/>
    </row>
    <row r="7" spans="2:12" ht="27.75" x14ac:dyDescent="0.2">
      <c r="B7" s="23" t="s">
        <v>24</v>
      </c>
      <c r="C7" s="24" t="s">
        <v>25</v>
      </c>
      <c r="D7" s="24" t="s">
        <v>26</v>
      </c>
      <c r="E7" s="24" t="s">
        <v>27</v>
      </c>
      <c r="F7" s="24"/>
      <c r="G7" s="24" t="s">
        <v>28</v>
      </c>
      <c r="H7" s="24" t="s">
        <v>29</v>
      </c>
      <c r="I7" s="24"/>
      <c r="J7" s="24" t="s">
        <v>30</v>
      </c>
      <c r="K7" s="24"/>
      <c r="L7" s="24" t="s">
        <v>31</v>
      </c>
    </row>
    <row r="8" spans="2:12" x14ac:dyDescent="0.2">
      <c r="B8" s="23">
        <v>250</v>
      </c>
      <c r="C8" s="23">
        <v>10100</v>
      </c>
      <c r="D8" s="23">
        <v>17.600000000000001</v>
      </c>
      <c r="E8" s="56">
        <v>3.39E-2</v>
      </c>
      <c r="F8" s="25">
        <f>C8*E8</f>
        <v>342.39</v>
      </c>
      <c r="G8" s="23" t="str">
        <f>TEXT(F8/24,"[hh]:mm")</f>
        <v>342:23</v>
      </c>
      <c r="H8" s="70"/>
      <c r="I8" s="70"/>
      <c r="J8" s="70"/>
      <c r="K8" s="70"/>
      <c r="L8" s="70"/>
    </row>
    <row r="9" spans="2:12" x14ac:dyDescent="0.2">
      <c r="B9" s="23">
        <v>315</v>
      </c>
      <c r="C9" s="23">
        <v>2300</v>
      </c>
      <c r="D9" s="23">
        <v>17.600000000000001</v>
      </c>
      <c r="E9" s="56">
        <v>5.3900000000000003E-2</v>
      </c>
      <c r="F9" s="25">
        <f>C9*E9</f>
        <v>123.97000000000001</v>
      </c>
      <c r="G9" s="23" t="str">
        <f>TEXT(F9/24,"[hh]:mm")</f>
        <v>123:58</v>
      </c>
      <c r="H9" s="70"/>
      <c r="I9" s="70"/>
      <c r="J9" s="70"/>
      <c r="K9" s="70"/>
      <c r="L9" s="70"/>
    </row>
    <row r="10" spans="2:12" x14ac:dyDescent="0.2">
      <c r="B10" s="23"/>
      <c r="C10" s="23"/>
      <c r="D10" s="23"/>
      <c r="E10" s="25"/>
      <c r="F10" s="25">
        <f>C10*E10</f>
        <v>0</v>
      </c>
      <c r="G10" s="23" t="str">
        <f>TEXT(F10/24,"[hh]:mm")</f>
        <v>00:00</v>
      </c>
      <c r="H10" s="70"/>
      <c r="I10" s="70"/>
      <c r="J10" s="70"/>
      <c r="K10" s="70"/>
      <c r="L10" s="70"/>
    </row>
    <row r="11" spans="2:12" x14ac:dyDescent="0.2">
      <c r="B11" s="70"/>
      <c r="C11" s="70"/>
      <c r="D11" s="70"/>
      <c r="E11" s="70"/>
      <c r="F11" s="26">
        <f>F8+F9+F10</f>
        <v>466.36</v>
      </c>
      <c r="G11" s="23" t="str">
        <f>TEXT(F11/24,"[hh]:mm")</f>
        <v>466:21</v>
      </c>
      <c r="H11" s="23">
        <v>4.9000000000000004</v>
      </c>
      <c r="I11" s="25">
        <f>F11/H11</f>
        <v>95.175510204081633</v>
      </c>
      <c r="J11" s="23" t="str">
        <f>TEXT(I11/24,"[hh]:mm")</f>
        <v>95:10</v>
      </c>
      <c r="K11" s="23">
        <f>F11+I11</f>
        <v>561.53551020408167</v>
      </c>
      <c r="L11" s="23" t="str">
        <f>TEXT(K11/24,"[hh]:mm")</f>
        <v>561:32</v>
      </c>
    </row>
    <row r="12" spans="2:12" x14ac:dyDescent="0.2">
      <c r="F12" s="27"/>
      <c r="G12" s="1"/>
      <c r="H12" s="1"/>
      <c r="I12" s="12"/>
      <c r="J12" s="1"/>
      <c r="K12" s="1"/>
      <c r="L12" s="1"/>
    </row>
    <row r="13" spans="2:12" x14ac:dyDescent="0.2">
      <c r="B13" s="71" t="s">
        <v>33</v>
      </c>
      <c r="C13" s="71"/>
      <c r="D13" s="71"/>
      <c r="E13" s="71"/>
      <c r="F13" s="71"/>
      <c r="G13" s="71"/>
      <c r="H13" s="71"/>
      <c r="I13" s="71"/>
      <c r="J13" s="71"/>
      <c r="K13" s="71"/>
      <c r="L13" s="71"/>
    </row>
    <row r="14" spans="2:12" ht="27.75" x14ac:dyDescent="0.2">
      <c r="B14" s="23" t="s">
        <v>24</v>
      </c>
      <c r="C14" s="24" t="s">
        <v>25</v>
      </c>
      <c r="D14" s="24" t="s">
        <v>26</v>
      </c>
      <c r="E14" s="24" t="s">
        <v>27</v>
      </c>
      <c r="F14" s="24"/>
      <c r="G14" s="24" t="s">
        <v>28</v>
      </c>
      <c r="H14" s="24" t="s">
        <v>29</v>
      </c>
      <c r="I14" s="24"/>
      <c r="J14" s="24" t="s">
        <v>30</v>
      </c>
      <c r="K14" s="24"/>
      <c r="L14" s="24" t="s">
        <v>31</v>
      </c>
    </row>
    <row r="15" spans="2:12" x14ac:dyDescent="0.2">
      <c r="B15" s="23">
        <v>180</v>
      </c>
      <c r="C15" s="23">
        <v>500</v>
      </c>
      <c r="D15" s="23">
        <v>11</v>
      </c>
      <c r="E15" s="25">
        <v>1.4999999999999999E-2</v>
      </c>
      <c r="F15" s="25">
        <f>C15*E15</f>
        <v>7.5</v>
      </c>
      <c r="G15" s="23" t="str">
        <f>TEXT(F15/24,"[hh]:mm")</f>
        <v>07:30</v>
      </c>
      <c r="H15" s="70"/>
      <c r="I15" s="70"/>
      <c r="J15" s="70"/>
      <c r="K15" s="70"/>
      <c r="L15" s="70"/>
    </row>
    <row r="16" spans="2:12" x14ac:dyDescent="0.2">
      <c r="B16" s="23">
        <v>180</v>
      </c>
      <c r="C16" s="23">
        <v>1232</v>
      </c>
      <c r="D16" s="23">
        <v>17.600000000000001</v>
      </c>
      <c r="E16" s="25">
        <v>1.7600000000000001E-2</v>
      </c>
      <c r="F16" s="25">
        <f>C16*E16</f>
        <v>21.683200000000003</v>
      </c>
      <c r="G16" s="23" t="str">
        <f>TEXT(F16/24,"[hh]:mm")</f>
        <v>21:41</v>
      </c>
      <c r="H16" s="70"/>
      <c r="I16" s="70"/>
      <c r="J16" s="70"/>
      <c r="K16" s="70"/>
      <c r="L16" s="70"/>
    </row>
    <row r="17" spans="2:12" x14ac:dyDescent="0.2">
      <c r="B17" s="70"/>
      <c r="C17" s="70"/>
      <c r="D17" s="70"/>
      <c r="E17" s="70"/>
      <c r="F17" s="26">
        <f>F15+F16</f>
        <v>29.183200000000003</v>
      </c>
      <c r="G17" s="23" t="str">
        <f>TEXT(F17/24,"[hh]:mm")</f>
        <v>29:11</v>
      </c>
      <c r="H17" s="23">
        <v>4.8</v>
      </c>
      <c r="I17" s="25">
        <f>F17/H17</f>
        <v>6.0798333333333341</v>
      </c>
      <c r="J17" s="23" t="str">
        <f>TEXT(I17/24,"[hh]:mm")</f>
        <v>06:04</v>
      </c>
      <c r="K17" s="23">
        <f>F17+I17</f>
        <v>35.26303333333334</v>
      </c>
      <c r="L17" s="23" t="str">
        <f>TEXT(K17/24,"[hh]:mm")</f>
        <v>35:15</v>
      </c>
    </row>
    <row r="18" spans="2:12" ht="66" customHeight="1" x14ac:dyDescent="0.2">
      <c r="B18" s="69" t="s">
        <v>34</v>
      </c>
      <c r="C18" s="69"/>
      <c r="D18" s="69"/>
      <c r="E18" s="69"/>
      <c r="F18" s="69"/>
      <c r="G18" s="69"/>
      <c r="H18" s="69"/>
      <c r="I18" s="69"/>
      <c r="J18" s="69"/>
      <c r="K18" s="69"/>
      <c r="L18" s="69"/>
    </row>
    <row r="19" spans="2:12" x14ac:dyDescent="0.2">
      <c r="B19" s="28"/>
      <c r="C19" s="28"/>
      <c r="D19" s="28"/>
      <c r="E19" s="28"/>
      <c r="F19" s="28"/>
      <c r="G19" s="28"/>
      <c r="H19" s="28"/>
      <c r="I19" s="28"/>
      <c r="J19" s="28"/>
      <c r="K19" s="28"/>
      <c r="L19" s="28"/>
    </row>
    <row r="20" spans="2:12" x14ac:dyDescent="0.2">
      <c r="B20" s="71" t="s">
        <v>35</v>
      </c>
      <c r="C20" s="71"/>
      <c r="D20" s="71"/>
      <c r="E20" s="71"/>
      <c r="F20" s="71"/>
      <c r="G20" s="71"/>
      <c r="H20" s="71"/>
      <c r="I20" s="71"/>
      <c r="J20" s="71"/>
      <c r="K20" s="71"/>
      <c r="L20" s="71"/>
    </row>
    <row r="21" spans="2:12" ht="27.75" x14ac:dyDescent="0.2">
      <c r="B21" s="23" t="s">
        <v>24</v>
      </c>
      <c r="C21" s="24" t="s">
        <v>25</v>
      </c>
      <c r="D21" s="24" t="s">
        <v>26</v>
      </c>
      <c r="E21" s="24" t="s">
        <v>27</v>
      </c>
      <c r="F21" s="24"/>
      <c r="G21" s="24" t="s">
        <v>28</v>
      </c>
      <c r="H21" s="24" t="s">
        <v>29</v>
      </c>
      <c r="I21" s="24"/>
      <c r="J21" s="24" t="s">
        <v>30</v>
      </c>
      <c r="K21" s="24"/>
      <c r="L21" s="24" t="s">
        <v>31</v>
      </c>
    </row>
    <row r="22" spans="2:12" x14ac:dyDescent="0.2">
      <c r="B22" s="23">
        <v>450</v>
      </c>
      <c r="C22" s="23">
        <v>195</v>
      </c>
      <c r="D22" s="23">
        <v>21</v>
      </c>
      <c r="E22" s="25">
        <v>0.11459999999999999</v>
      </c>
      <c r="F22" s="25">
        <f>C22*E22</f>
        <v>22.346999999999998</v>
      </c>
      <c r="G22" s="23" t="str">
        <f>TEXT(F22/24,"[hh]:mm")</f>
        <v>22:20</v>
      </c>
      <c r="H22" s="70"/>
      <c r="I22" s="70"/>
      <c r="J22" s="70"/>
      <c r="K22" s="70"/>
      <c r="L22" s="70"/>
    </row>
    <row r="23" spans="2:12" x14ac:dyDescent="0.2">
      <c r="B23" s="23" t="s">
        <v>36</v>
      </c>
      <c r="C23" s="23">
        <v>55</v>
      </c>
      <c r="D23" s="23">
        <v>0</v>
      </c>
      <c r="E23" s="25">
        <v>0.13439999999999999</v>
      </c>
      <c r="F23" s="25">
        <f>C23*E23</f>
        <v>7.3919999999999995</v>
      </c>
      <c r="G23" s="23" t="str">
        <f>TEXT(F23/24,"[hh]:mm")</f>
        <v>07:23</v>
      </c>
      <c r="H23" s="70"/>
      <c r="I23" s="70"/>
      <c r="J23" s="70"/>
      <c r="K23" s="70"/>
      <c r="L23" s="70"/>
    </row>
    <row r="24" spans="2:12" x14ac:dyDescent="0.2">
      <c r="B24" s="70"/>
      <c r="C24" s="70"/>
      <c r="D24" s="70"/>
      <c r="E24" s="70"/>
      <c r="F24" s="26">
        <f>F22+F23</f>
        <v>29.738999999999997</v>
      </c>
      <c r="G24" s="23" t="str">
        <f>TEXT(F24/24,"[hh]:mm")</f>
        <v>29:44</v>
      </c>
      <c r="H24" s="23">
        <v>6.8</v>
      </c>
      <c r="I24" s="25">
        <f>F24/H24</f>
        <v>4.3733823529411762</v>
      </c>
      <c r="J24" s="23" t="str">
        <f>TEXT(I24/24,"[hh]:mm")</f>
        <v>04:22</v>
      </c>
      <c r="K24" s="23">
        <f>F24+I24</f>
        <v>34.112382352941175</v>
      </c>
      <c r="L24" s="23" t="str">
        <f>TEXT(K24/24,"[hh]:mm")</f>
        <v>34:06</v>
      </c>
    </row>
    <row r="25" spans="2:12" x14ac:dyDescent="0.2">
      <c r="B25" s="28"/>
      <c r="C25" s="28"/>
      <c r="D25" s="28"/>
      <c r="E25" s="28"/>
      <c r="F25" s="28"/>
      <c r="G25" s="28"/>
      <c r="H25" s="28"/>
      <c r="I25" s="28"/>
      <c r="J25" s="28"/>
      <c r="K25" s="28"/>
      <c r="L25" s="28"/>
    </row>
    <row r="26" spans="2:12" ht="15" customHeight="1" x14ac:dyDescent="0.2">
      <c r="B26" s="72" t="s">
        <v>37</v>
      </c>
      <c r="C26" s="72"/>
      <c r="D26" s="72"/>
      <c r="E26" s="72"/>
      <c r="F26" s="72"/>
      <c r="G26" s="72"/>
      <c r="H26" s="72"/>
    </row>
    <row r="27" spans="2:12" ht="30" customHeight="1" x14ac:dyDescent="0.2">
      <c r="B27" s="29" t="s">
        <v>26</v>
      </c>
      <c r="C27" s="29" t="s">
        <v>38</v>
      </c>
      <c r="D27" s="29" t="s">
        <v>39</v>
      </c>
      <c r="E27" s="72" t="s">
        <v>40</v>
      </c>
      <c r="F27" s="72"/>
      <c r="G27" s="72"/>
      <c r="H27" s="29" t="s">
        <v>41</v>
      </c>
    </row>
    <row r="28" spans="2:12" x14ac:dyDescent="0.2">
      <c r="B28" s="24">
        <v>11</v>
      </c>
      <c r="C28" s="24">
        <v>80</v>
      </c>
      <c r="D28" s="30" t="s">
        <v>42</v>
      </c>
      <c r="E28" s="69">
        <v>1</v>
      </c>
      <c r="F28" s="69"/>
      <c r="G28" s="69"/>
      <c r="H28" s="24">
        <v>9</v>
      </c>
    </row>
    <row r="29" spans="2:12" x14ac:dyDescent="0.2">
      <c r="B29" s="24">
        <v>11</v>
      </c>
      <c r="C29" s="24">
        <v>80</v>
      </c>
      <c r="D29" s="31" t="s">
        <v>43</v>
      </c>
      <c r="E29" s="69">
        <v>1.6</v>
      </c>
      <c r="F29" s="69"/>
      <c r="G29" s="69"/>
      <c r="H29" s="24">
        <v>9</v>
      </c>
      <c r="I29" s="12"/>
      <c r="K29" s="12"/>
      <c r="L29" s="1"/>
    </row>
    <row r="30" spans="2:12" x14ac:dyDescent="0.2">
      <c r="B30" s="24">
        <v>11</v>
      </c>
      <c r="C30" s="24">
        <v>100</v>
      </c>
      <c r="D30" s="31" t="s">
        <v>44</v>
      </c>
      <c r="E30" s="69">
        <v>2.2999999999999998</v>
      </c>
      <c r="F30" s="69"/>
      <c r="G30" s="69"/>
      <c r="H30" s="24">
        <v>8.6</v>
      </c>
      <c r="I30" s="12"/>
      <c r="K30" s="1"/>
      <c r="L30" s="1"/>
    </row>
    <row r="31" spans="2:12" x14ac:dyDescent="0.2">
      <c r="B31" s="24">
        <v>26</v>
      </c>
      <c r="C31" s="24">
        <v>80</v>
      </c>
      <c r="D31" s="31" t="s">
        <v>45</v>
      </c>
      <c r="E31" s="69">
        <v>2.4</v>
      </c>
      <c r="F31" s="69"/>
      <c r="G31" s="69"/>
      <c r="H31" s="24">
        <v>8.5</v>
      </c>
    </row>
    <row r="32" spans="2:12" x14ac:dyDescent="0.2">
      <c r="B32" s="24">
        <v>21</v>
      </c>
      <c r="C32" s="24">
        <v>80</v>
      </c>
      <c r="D32" s="31" t="s">
        <v>45</v>
      </c>
      <c r="E32" s="69">
        <v>3.5</v>
      </c>
      <c r="F32" s="69"/>
      <c r="G32" s="69"/>
      <c r="H32" s="24">
        <v>7.5</v>
      </c>
    </row>
    <row r="33" spans="2:8" x14ac:dyDescent="0.2">
      <c r="B33" s="24">
        <v>17</v>
      </c>
      <c r="C33" s="24">
        <v>80</v>
      </c>
      <c r="D33" s="31" t="s">
        <v>45</v>
      </c>
      <c r="E33" s="69">
        <v>4.9000000000000004</v>
      </c>
      <c r="F33" s="69"/>
      <c r="G33" s="69"/>
      <c r="H33" s="24">
        <v>6.5</v>
      </c>
    </row>
    <row r="34" spans="2:8" x14ac:dyDescent="0.2">
      <c r="B34" s="24">
        <v>21</v>
      </c>
      <c r="C34" s="24">
        <v>100</v>
      </c>
      <c r="D34" s="31" t="s">
        <v>45</v>
      </c>
      <c r="E34" s="69">
        <v>6.8</v>
      </c>
      <c r="F34" s="69"/>
      <c r="G34" s="69"/>
      <c r="H34" s="24">
        <v>5.4</v>
      </c>
    </row>
    <row r="35" spans="2:8" x14ac:dyDescent="0.2">
      <c r="B35" s="24">
        <v>11</v>
      </c>
      <c r="C35" s="24">
        <v>80</v>
      </c>
      <c r="D35" s="31" t="s">
        <v>45</v>
      </c>
      <c r="E35" s="69">
        <v>9.4</v>
      </c>
      <c r="F35" s="69"/>
      <c r="G35" s="69"/>
      <c r="H35" s="24">
        <v>4.4000000000000004</v>
      </c>
    </row>
    <row r="39" spans="2:8" x14ac:dyDescent="0.2">
      <c r="B39" s="65" t="s">
        <v>72</v>
      </c>
      <c r="C39" s="65"/>
      <c r="D39" s="65"/>
      <c r="E39" s="67">
        <v>43273.583333333336</v>
      </c>
      <c r="F39" s="67"/>
      <c r="G39" s="67"/>
    </row>
    <row r="40" spans="2:8" x14ac:dyDescent="0.2">
      <c r="B40" s="65" t="s">
        <v>73</v>
      </c>
      <c r="C40" s="65"/>
      <c r="D40" s="65"/>
      <c r="E40" s="67">
        <v>43275.401388888888</v>
      </c>
      <c r="F40" s="67"/>
      <c r="G40" s="67"/>
    </row>
    <row r="41" spans="2:8" x14ac:dyDescent="0.2">
      <c r="B41" s="65" t="s">
        <v>74</v>
      </c>
      <c r="C41" s="65"/>
      <c r="D41" s="65"/>
      <c r="E41" s="65" t="str">
        <f>TEXT(E40-E39,"[h]:mm")</f>
        <v>43:38</v>
      </c>
      <c r="F41" s="65"/>
      <c r="G41" s="65"/>
    </row>
    <row r="42" spans="2:8" x14ac:dyDescent="0.2">
      <c r="B42" s="65" t="s">
        <v>75</v>
      </c>
      <c r="C42" s="65"/>
      <c r="D42" s="65"/>
      <c r="E42" s="65">
        <v>4.1452999999999998</v>
      </c>
      <c r="F42" s="65"/>
      <c r="G42" s="65"/>
    </row>
    <row r="43" spans="2:8" x14ac:dyDescent="0.2">
      <c r="B43" s="65" t="s">
        <v>76</v>
      </c>
      <c r="C43" s="65"/>
      <c r="D43" s="65"/>
      <c r="E43" s="67">
        <v>43276.617361111108</v>
      </c>
      <c r="F43" s="67"/>
      <c r="G43" s="67"/>
    </row>
    <row r="44" spans="2:8" x14ac:dyDescent="0.2">
      <c r="B44" s="65" t="s">
        <v>77</v>
      </c>
      <c r="C44" s="65"/>
      <c r="D44" s="65"/>
      <c r="E44" s="68">
        <v>4.1444999999999999</v>
      </c>
      <c r="F44" s="68"/>
      <c r="G44" s="68"/>
    </row>
    <row r="45" spans="2:8" x14ac:dyDescent="0.2">
      <c r="B45" s="65" t="s">
        <v>78</v>
      </c>
      <c r="C45" s="65"/>
      <c r="D45" s="65"/>
      <c r="E45" s="65" t="str">
        <f>TEXT(E43-E40,"[h]:mm")</f>
        <v>29:11</v>
      </c>
      <c r="F45" s="65"/>
      <c r="G45" s="65"/>
    </row>
    <row r="46" spans="2:8" x14ac:dyDescent="0.2">
      <c r="B46" s="1"/>
      <c r="C46" s="1"/>
      <c r="D46" s="1"/>
      <c r="E46" s="65"/>
      <c r="F46" s="65"/>
      <c r="G46" s="65"/>
    </row>
    <row r="47" spans="2:8" x14ac:dyDescent="0.2">
      <c r="B47" s="65" t="s">
        <v>79</v>
      </c>
      <c r="C47" s="65"/>
      <c r="D47" s="65"/>
      <c r="E47" s="65">
        <f>E42-E44</f>
        <v>7.9999999999991189E-4</v>
      </c>
      <c r="F47" s="65"/>
      <c r="G47" s="65"/>
    </row>
    <row r="48" spans="2:8" x14ac:dyDescent="0.2">
      <c r="B48" s="65" t="str">
        <f>B61</f>
        <v xml:space="preserve">Total Creep Allowance </v>
      </c>
      <c r="C48" s="65"/>
      <c r="D48" s="65"/>
      <c r="E48" s="66">
        <f>E61</f>
        <v>1.7429864253393663</v>
      </c>
      <c r="F48" s="66"/>
      <c r="G48" s="66"/>
    </row>
    <row r="49" spans="2:7" x14ac:dyDescent="0.2">
      <c r="B49" s="1"/>
      <c r="C49" s="1"/>
      <c r="D49" s="1"/>
      <c r="E49" s="65"/>
      <c r="F49" s="65"/>
      <c r="G49" s="65"/>
    </row>
    <row r="50" spans="2:7" x14ac:dyDescent="0.2">
      <c r="B50" s="65" t="s">
        <v>80</v>
      </c>
      <c r="C50" s="65"/>
      <c r="D50" s="65"/>
      <c r="E50" s="66" t="str">
        <f>E41</f>
        <v>43:38</v>
      </c>
      <c r="F50" s="66"/>
      <c r="G50" s="66"/>
    </row>
    <row r="51" spans="2:7" x14ac:dyDescent="0.2">
      <c r="B51" s="65" t="s">
        <v>81</v>
      </c>
      <c r="C51" s="65"/>
      <c r="D51" s="65"/>
      <c r="E51" s="66" t="str">
        <f>E45</f>
        <v>29:11</v>
      </c>
      <c r="F51" s="66"/>
      <c r="G51" s="66"/>
    </row>
    <row r="52" spans="2:7" x14ac:dyDescent="0.2">
      <c r="B52" s="65" t="s">
        <v>82</v>
      </c>
      <c r="C52" s="65"/>
      <c r="D52" s="65"/>
      <c r="E52" s="65">
        <v>33.15</v>
      </c>
      <c r="F52" s="65"/>
      <c r="G52" s="65"/>
    </row>
    <row r="53" spans="2:7" x14ac:dyDescent="0.2">
      <c r="B53" s="1"/>
      <c r="C53" s="1"/>
      <c r="D53" s="1"/>
      <c r="E53" s="1"/>
      <c r="F53" s="1"/>
    </row>
    <row r="54" spans="2:7" x14ac:dyDescent="0.2">
      <c r="B54" s="65" t="s">
        <v>83</v>
      </c>
      <c r="C54" s="65"/>
      <c r="D54" s="65"/>
      <c r="E54" s="65"/>
      <c r="F54" s="1"/>
    </row>
    <row r="55" spans="2:7" ht="27.75" x14ac:dyDescent="0.2">
      <c r="B55" s="1"/>
      <c r="C55" s="1" t="s">
        <v>84</v>
      </c>
      <c r="D55" s="28" t="s">
        <v>85</v>
      </c>
      <c r="E55" s="1"/>
      <c r="F55" s="1"/>
    </row>
    <row r="56" spans="2:7" x14ac:dyDescent="0.2">
      <c r="B56" s="1" t="s">
        <v>86</v>
      </c>
      <c r="C56" s="1">
        <v>8.52</v>
      </c>
      <c r="D56" s="39">
        <f>(100/E52)*C56</f>
        <v>25.701357466063346</v>
      </c>
      <c r="E56" s="1" t="s">
        <v>87</v>
      </c>
      <c r="F56" s="1"/>
    </row>
    <row r="57" spans="2:7" x14ac:dyDescent="0.2">
      <c r="B57" s="1" t="s">
        <v>88</v>
      </c>
      <c r="C57" s="1">
        <v>24.63</v>
      </c>
      <c r="D57" s="39">
        <f>(100/E52)*C57</f>
        <v>74.298642533936643</v>
      </c>
      <c r="E57" s="1" t="s">
        <v>87</v>
      </c>
      <c r="F57" s="1"/>
    </row>
    <row r="58" spans="2:7" ht="41.25" x14ac:dyDescent="0.2">
      <c r="B58" s="1"/>
      <c r="C58" s="1" t="s">
        <v>27</v>
      </c>
      <c r="D58" s="28" t="s">
        <v>89</v>
      </c>
      <c r="E58" s="65" t="s">
        <v>90</v>
      </c>
      <c r="F58" s="65"/>
      <c r="G58" s="65"/>
    </row>
    <row r="59" spans="2:7" x14ac:dyDescent="0.2">
      <c r="B59" s="1" t="s">
        <v>86</v>
      </c>
      <c r="C59" s="36">
        <f>E51/E50</f>
        <v>0.66883116883116889</v>
      </c>
      <c r="D59" s="1">
        <v>1</v>
      </c>
      <c r="E59" s="36">
        <f>(D59*D56)/100</f>
        <v>0.25701357466063346</v>
      </c>
      <c r="F59" s="1"/>
    </row>
    <row r="60" spans="2:7" x14ac:dyDescent="0.2">
      <c r="B60" s="1" t="s">
        <v>88</v>
      </c>
      <c r="C60" s="36">
        <f>E51/E50</f>
        <v>0.66883116883116889</v>
      </c>
      <c r="D60" s="1">
        <v>2</v>
      </c>
      <c r="E60" s="36">
        <f>(D60*D57)/100</f>
        <v>1.4859728506787329</v>
      </c>
      <c r="F60" s="1"/>
    </row>
    <row r="61" spans="2:7" x14ac:dyDescent="0.2">
      <c r="B61" s="65" t="s">
        <v>91</v>
      </c>
      <c r="C61" s="65"/>
      <c r="D61" s="65"/>
      <c r="E61" s="36">
        <f>E59+E60</f>
        <v>1.7429864253393663</v>
      </c>
      <c r="F61" s="1"/>
    </row>
  </sheetData>
  <mergeCells count="50">
    <mergeCell ref="H15:L16"/>
    <mergeCell ref="B2:L2"/>
    <mergeCell ref="B6:L6"/>
    <mergeCell ref="H8:L10"/>
    <mergeCell ref="B11:E11"/>
    <mergeCell ref="B13:L13"/>
    <mergeCell ref="E41:G41"/>
    <mergeCell ref="E42:G42"/>
    <mergeCell ref="E32:G32"/>
    <mergeCell ref="B17:E17"/>
    <mergeCell ref="B18:L18"/>
    <mergeCell ref="B20:L20"/>
    <mergeCell ref="H22:L23"/>
    <mergeCell ref="B24:E24"/>
    <mergeCell ref="B26:H26"/>
    <mergeCell ref="E27:G27"/>
    <mergeCell ref="E28:G28"/>
    <mergeCell ref="E29:G29"/>
    <mergeCell ref="E30:G30"/>
    <mergeCell ref="E31:G31"/>
    <mergeCell ref="B41:D41"/>
    <mergeCell ref="B42:D42"/>
    <mergeCell ref="E33:G33"/>
    <mergeCell ref="E34:G34"/>
    <mergeCell ref="E35:G35"/>
    <mergeCell ref="B39:D39"/>
    <mergeCell ref="B40:D40"/>
    <mergeCell ref="E39:G39"/>
    <mergeCell ref="E40:G40"/>
    <mergeCell ref="E49:G49"/>
    <mergeCell ref="B48:D48"/>
    <mergeCell ref="B47:D47"/>
    <mergeCell ref="B43:D43"/>
    <mergeCell ref="B44:D44"/>
    <mergeCell ref="B45:D45"/>
    <mergeCell ref="E43:G43"/>
    <mergeCell ref="E44:G44"/>
    <mergeCell ref="E45:G45"/>
    <mergeCell ref="E46:G46"/>
    <mergeCell ref="E47:G47"/>
    <mergeCell ref="E48:G48"/>
    <mergeCell ref="B61:D61"/>
    <mergeCell ref="E50:G50"/>
    <mergeCell ref="E51:G51"/>
    <mergeCell ref="E52:G52"/>
    <mergeCell ref="E58:G58"/>
    <mergeCell ref="B50:D50"/>
    <mergeCell ref="B51:D51"/>
    <mergeCell ref="B52:D52"/>
    <mergeCell ref="B54:E54"/>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O39"/>
  <sheetViews>
    <sheetView topLeftCell="A14" workbookViewId="0">
      <selection activeCell="I6" sqref="I6:K14"/>
    </sheetView>
  </sheetViews>
  <sheetFormatPr defaultColWidth="9.14453125" defaultRowHeight="15" x14ac:dyDescent="0.2"/>
  <cols>
    <col min="1" max="3" width="9.14453125" style="1" customWidth="1"/>
    <col min="4" max="4" width="10.76171875" style="1" customWidth="1"/>
    <col min="5" max="5" width="15.87109375" style="1" bestFit="1" customWidth="1"/>
    <col min="6" max="6" width="10.76171875" style="1" bestFit="1" customWidth="1"/>
    <col min="7" max="7" width="11.02734375" style="1" bestFit="1" customWidth="1"/>
    <col min="8" max="8" width="9.14453125" style="1" customWidth="1"/>
    <col min="9" max="9" width="20.17578125" style="1" bestFit="1" customWidth="1"/>
    <col min="10" max="10" width="10.76171875" style="1" bestFit="1" customWidth="1"/>
    <col min="11" max="12" width="9.14453125" style="1" customWidth="1"/>
    <col min="13" max="13" width="11.02734375" style="1" bestFit="1" customWidth="1"/>
    <col min="14" max="14" width="9.14453125" style="1" customWidth="1"/>
    <col min="15" max="15" width="9.55078125" style="1" bestFit="1" customWidth="1"/>
    <col min="16" max="16" width="9.14453125" style="1" customWidth="1"/>
    <col min="17" max="16384" width="9.14453125" style="1"/>
  </cols>
  <sheetData>
    <row r="5" spans="4:15" ht="15.75" thickBot="1" x14ac:dyDescent="0.25"/>
    <row r="6" spans="4:15" x14ac:dyDescent="0.2">
      <c r="E6" s="1" t="s">
        <v>46</v>
      </c>
      <c r="F6" s="1" t="s">
        <v>47</v>
      </c>
      <c r="I6" s="32" t="s">
        <v>48</v>
      </c>
      <c r="J6" s="32"/>
      <c r="K6" s="32"/>
      <c r="M6" s="43" t="s">
        <v>49</v>
      </c>
      <c r="N6" s="44"/>
      <c r="O6" s="45">
        <f>+SUM(K10/2)</f>
        <v>0.14249999999999999</v>
      </c>
    </row>
    <row r="7" spans="4:15" x14ac:dyDescent="0.2">
      <c r="D7" s="1" t="s">
        <v>50</v>
      </c>
      <c r="E7" s="1" t="s">
        <v>51</v>
      </c>
      <c r="F7" s="1" t="s">
        <v>52</v>
      </c>
      <c r="I7" s="32" t="s">
        <v>53</v>
      </c>
      <c r="J7" s="32"/>
      <c r="K7" s="33">
        <v>315</v>
      </c>
      <c r="M7" s="46" t="s">
        <v>54</v>
      </c>
      <c r="N7" s="41"/>
      <c r="O7" s="47">
        <f>SUM(O6*O6)</f>
        <v>2.0306249999999998E-2</v>
      </c>
    </row>
    <row r="8" spans="4:15" x14ac:dyDescent="0.2">
      <c r="I8" s="32" t="s">
        <v>26</v>
      </c>
      <c r="J8" s="33">
        <v>21</v>
      </c>
      <c r="K8" s="34">
        <f>SUM(K7/J8)*2</f>
        <v>30</v>
      </c>
      <c r="M8" s="46" t="s">
        <v>55</v>
      </c>
      <c r="N8" s="41"/>
      <c r="O8" s="47">
        <f>SUM(3.142*O7)</f>
        <v>6.3802237499999997E-2</v>
      </c>
    </row>
    <row r="9" spans="4:15" ht="15.75" thickBot="1" x14ac:dyDescent="0.25">
      <c r="D9" s="1" t="s">
        <v>56</v>
      </c>
      <c r="F9" s="1" t="s">
        <v>57</v>
      </c>
      <c r="I9" s="32" t="s">
        <v>58</v>
      </c>
      <c r="J9" s="33"/>
      <c r="K9" s="23"/>
      <c r="M9" s="48" t="s">
        <v>59</v>
      </c>
      <c r="N9" s="49"/>
      <c r="O9" s="50">
        <f>SUM(J11*O8)</f>
        <v>11.1653915625</v>
      </c>
    </row>
    <row r="10" spans="4:15" x14ac:dyDescent="0.2">
      <c r="I10" s="32" t="s">
        <v>60</v>
      </c>
      <c r="J10" s="32"/>
      <c r="K10" s="35">
        <f>SUM(K7-K8)/(1000)</f>
        <v>0.28499999999999998</v>
      </c>
      <c r="M10" s="43" t="s">
        <v>92</v>
      </c>
      <c r="N10" s="51">
        <v>350</v>
      </c>
      <c r="O10" s="52">
        <f>0.3*J12</f>
        <v>3.34961746875</v>
      </c>
    </row>
    <row r="11" spans="4:15" x14ac:dyDescent="0.2">
      <c r="D11" s="1" t="s">
        <v>61</v>
      </c>
      <c r="E11" s="1" t="s">
        <v>62</v>
      </c>
      <c r="F11" s="1" t="s">
        <v>63</v>
      </c>
      <c r="I11" s="32" t="s">
        <v>64</v>
      </c>
      <c r="J11" s="33">
        <v>175</v>
      </c>
      <c r="K11" s="32"/>
      <c r="M11" s="46" t="s">
        <v>93</v>
      </c>
      <c r="N11" s="42">
        <v>3</v>
      </c>
      <c r="O11" s="53">
        <f>0.88*J12</f>
        <v>9.8255445750000003</v>
      </c>
    </row>
    <row r="12" spans="4:15" x14ac:dyDescent="0.2">
      <c r="E12" s="1" t="s">
        <v>65</v>
      </c>
      <c r="F12" s="1" t="s">
        <v>66</v>
      </c>
      <c r="I12" s="32" t="s">
        <v>67</v>
      </c>
      <c r="J12" s="35">
        <f>O9</f>
        <v>11.1653915625</v>
      </c>
      <c r="K12" s="32"/>
      <c r="M12" s="46" t="s">
        <v>94</v>
      </c>
      <c r="N12" s="42">
        <v>4</v>
      </c>
      <c r="O12" s="53">
        <f>0.84*J12</f>
        <v>9.3789289124999993</v>
      </c>
    </row>
    <row r="13" spans="4:15" x14ac:dyDescent="0.2">
      <c r="E13" s="1" t="s">
        <v>68</v>
      </c>
      <c r="F13" s="1" t="s">
        <v>69</v>
      </c>
      <c r="I13" s="32" t="s">
        <v>70</v>
      </c>
      <c r="J13" s="35">
        <f>SUM(J12*1000)</f>
        <v>11165.391562500001</v>
      </c>
      <c r="K13" s="32"/>
      <c r="M13" s="46" t="s">
        <v>95</v>
      </c>
      <c r="N13" s="42">
        <v>5.5</v>
      </c>
      <c r="O13" s="53">
        <f>1.12*J12</f>
        <v>12.505238550000001</v>
      </c>
    </row>
    <row r="14" spans="4:15" ht="15.75" thickBot="1" x14ac:dyDescent="0.25">
      <c r="I14" s="32" t="s">
        <v>71</v>
      </c>
      <c r="J14" s="34">
        <f>SUM(J13/4.55)</f>
        <v>2453.9322115384616</v>
      </c>
      <c r="K14" s="32"/>
      <c r="M14" s="48" t="s">
        <v>96</v>
      </c>
      <c r="N14" s="54">
        <v>7</v>
      </c>
      <c r="O14" s="55">
        <f>1.75*J12</f>
        <v>19.539435234374999</v>
      </c>
    </row>
    <row r="17" spans="2:6" x14ac:dyDescent="0.2">
      <c r="B17" s="65" t="s">
        <v>72</v>
      </c>
      <c r="C17" s="65"/>
      <c r="D17" s="65"/>
      <c r="E17" s="37">
        <v>43273.583333333336</v>
      </c>
      <c r="F17" s="38"/>
    </row>
    <row r="18" spans="2:6" x14ac:dyDescent="0.2">
      <c r="B18" s="65" t="s">
        <v>73</v>
      </c>
      <c r="C18" s="65"/>
      <c r="D18" s="65"/>
      <c r="E18" s="37">
        <v>43275.401388888888</v>
      </c>
      <c r="F18" s="38"/>
    </row>
    <row r="19" spans="2:6" x14ac:dyDescent="0.2">
      <c r="B19" s="65" t="s">
        <v>74</v>
      </c>
      <c r="C19" s="65"/>
      <c r="D19" s="65"/>
      <c r="E19" s="1" t="str">
        <f>TEXT(E18-E17,"[h]:mm")</f>
        <v>43:38</v>
      </c>
      <c r="F19" s="36">
        <f>E19*24</f>
        <v>43.633333333333333</v>
      </c>
    </row>
    <row r="20" spans="2:6" x14ac:dyDescent="0.2">
      <c r="B20" s="65" t="s">
        <v>75</v>
      </c>
      <c r="C20" s="65"/>
      <c r="D20" s="65"/>
      <c r="E20" s="1">
        <v>4.1452999999999998</v>
      </c>
      <c r="F20" s="36"/>
    </row>
    <row r="21" spans="2:6" x14ac:dyDescent="0.2">
      <c r="B21" s="65" t="s">
        <v>76</v>
      </c>
      <c r="C21" s="65"/>
      <c r="D21" s="65"/>
      <c r="E21" s="37">
        <v>43276.617361111108</v>
      </c>
      <c r="F21" s="36"/>
    </row>
    <row r="22" spans="2:6" x14ac:dyDescent="0.2">
      <c r="B22" s="65" t="s">
        <v>77</v>
      </c>
      <c r="C22" s="65"/>
      <c r="D22" s="65"/>
      <c r="E22" s="12">
        <v>4.1444999999999999</v>
      </c>
      <c r="F22" s="36"/>
    </row>
    <row r="23" spans="2:6" x14ac:dyDescent="0.2">
      <c r="B23" s="65" t="s">
        <v>78</v>
      </c>
      <c r="C23" s="65"/>
      <c r="D23" s="65"/>
      <c r="E23" s="1" t="str">
        <f>TEXT(E21-E18,"[h]:mm")</f>
        <v>29:11</v>
      </c>
      <c r="F23" s="36">
        <f>E23*24</f>
        <v>29.183333333333334</v>
      </c>
    </row>
    <row r="25" spans="2:6" x14ac:dyDescent="0.2">
      <c r="B25" s="65" t="s">
        <v>79</v>
      </c>
      <c r="C25" s="65"/>
      <c r="D25" s="65"/>
      <c r="E25" s="1">
        <f>E20-E22</f>
        <v>7.9999999999991189E-4</v>
      </c>
    </row>
    <row r="26" spans="2:6" x14ac:dyDescent="0.2">
      <c r="B26" s="65" t="str">
        <f>B39</f>
        <v xml:space="preserve">Total Creep Allowance </v>
      </c>
      <c r="C26" s="65"/>
      <c r="D26" s="65"/>
      <c r="E26" s="36">
        <f>E39</f>
        <v>1.7429864253393663</v>
      </c>
    </row>
    <row r="28" spans="2:6" x14ac:dyDescent="0.2">
      <c r="B28" s="65" t="s">
        <v>80</v>
      </c>
      <c r="C28" s="65"/>
      <c r="D28" s="65"/>
      <c r="E28" s="36">
        <f>F19</f>
        <v>43.633333333333333</v>
      </c>
      <c r="F28" s="36"/>
    </row>
    <row r="29" spans="2:6" x14ac:dyDescent="0.2">
      <c r="B29" s="65" t="s">
        <v>81</v>
      </c>
      <c r="C29" s="65"/>
      <c r="D29" s="65"/>
      <c r="E29" s="36">
        <f>F23</f>
        <v>29.183333333333334</v>
      </c>
      <c r="F29" s="36"/>
    </row>
    <row r="30" spans="2:6" x14ac:dyDescent="0.2">
      <c r="B30" s="65" t="s">
        <v>82</v>
      </c>
      <c r="C30" s="65"/>
      <c r="D30" s="65"/>
      <c r="E30" s="1">
        <v>33.15</v>
      </c>
    </row>
    <row r="32" spans="2:6" x14ac:dyDescent="0.2">
      <c r="B32" s="65" t="s">
        <v>83</v>
      </c>
      <c r="C32" s="65"/>
      <c r="D32" s="65"/>
      <c r="E32" s="65"/>
    </row>
    <row r="33" spans="2:5" ht="27.75" x14ac:dyDescent="0.2">
      <c r="C33" s="1" t="s">
        <v>84</v>
      </c>
      <c r="D33" s="28" t="s">
        <v>85</v>
      </c>
    </row>
    <row r="34" spans="2:5" x14ac:dyDescent="0.2">
      <c r="B34" s="1" t="s">
        <v>86</v>
      </c>
      <c r="C34" s="1">
        <v>8.52</v>
      </c>
      <c r="D34" s="39">
        <f>(100/E30)*C34</f>
        <v>25.701357466063346</v>
      </c>
      <c r="E34" s="1" t="s">
        <v>87</v>
      </c>
    </row>
    <row r="35" spans="2:5" x14ac:dyDescent="0.2">
      <c r="B35" s="1" t="s">
        <v>88</v>
      </c>
      <c r="C35" s="1">
        <v>24.63</v>
      </c>
      <c r="D35" s="39">
        <f>(100/E30)*C35</f>
        <v>74.298642533936643</v>
      </c>
      <c r="E35" s="1" t="s">
        <v>87</v>
      </c>
    </row>
    <row r="36" spans="2:5" ht="41.25" x14ac:dyDescent="0.2">
      <c r="C36" s="1" t="s">
        <v>27</v>
      </c>
      <c r="D36" s="28" t="s">
        <v>89</v>
      </c>
      <c r="E36" s="1" t="s">
        <v>90</v>
      </c>
    </row>
    <row r="37" spans="2:5" x14ac:dyDescent="0.2">
      <c r="B37" s="1" t="s">
        <v>86</v>
      </c>
      <c r="C37" s="36">
        <f>E29/E28</f>
        <v>0.66883116883116889</v>
      </c>
      <c r="D37" s="1">
        <v>1</v>
      </c>
      <c r="E37" s="36">
        <f>(D37*D34)/100</f>
        <v>0.25701357466063346</v>
      </c>
    </row>
    <row r="38" spans="2:5" x14ac:dyDescent="0.2">
      <c r="B38" s="1" t="s">
        <v>88</v>
      </c>
      <c r="C38" s="36">
        <f>E29/E28</f>
        <v>0.66883116883116889</v>
      </c>
      <c r="D38" s="1">
        <v>2</v>
      </c>
      <c r="E38" s="36">
        <f>(D38*D35)/100</f>
        <v>1.4859728506787329</v>
      </c>
    </row>
    <row r="39" spans="2:5" x14ac:dyDescent="0.2">
      <c r="B39" s="65" t="s">
        <v>91</v>
      </c>
      <c r="C39" s="65"/>
      <c r="D39" s="65"/>
      <c r="E39" s="36">
        <f>E37+E38</f>
        <v>1.7429864253393663</v>
      </c>
    </row>
  </sheetData>
  <mergeCells count="14">
    <mergeCell ref="B22:D22"/>
    <mergeCell ref="B17:D17"/>
    <mergeCell ref="B18:D18"/>
    <mergeCell ref="B19:D19"/>
    <mergeCell ref="B20:D20"/>
    <mergeCell ref="B21:D21"/>
    <mergeCell ref="B32:E32"/>
    <mergeCell ref="B39:D39"/>
    <mergeCell ref="B23:D23"/>
    <mergeCell ref="B25:D25"/>
    <mergeCell ref="B26:D26"/>
    <mergeCell ref="B28:D28"/>
    <mergeCell ref="B29:D29"/>
    <mergeCell ref="B30:D30"/>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6D8F5-FA94-4931-AB2E-8034AF3843A7}">
  <dimension ref="B1:H30"/>
  <sheetViews>
    <sheetView workbookViewId="0">
      <selection activeCell="C7" sqref="C7"/>
    </sheetView>
  </sheetViews>
  <sheetFormatPr defaultRowHeight="15" x14ac:dyDescent="0.2"/>
  <cols>
    <col min="1" max="1" width="3.62890625" customWidth="1"/>
    <col min="2" max="2" width="20.17578125" bestFit="1" customWidth="1"/>
    <col min="3" max="3" width="10.76171875" bestFit="1" customWidth="1"/>
    <col min="5" max="5" width="3.8984375" customWidth="1"/>
    <col min="6" max="6" width="11.02734375" bestFit="1" customWidth="1"/>
  </cols>
  <sheetData>
    <row r="1" spans="2:8" ht="15.75" thickBot="1" x14ac:dyDescent="0.25"/>
    <row r="2" spans="2:8" x14ac:dyDescent="0.2">
      <c r="B2" s="32" t="s">
        <v>48</v>
      </c>
      <c r="C2" s="32"/>
      <c r="D2" s="32"/>
      <c r="E2" s="40"/>
      <c r="F2" s="43" t="s">
        <v>49</v>
      </c>
      <c r="G2" s="44"/>
      <c r="H2" s="45">
        <f>+SUM(D6/2)</f>
        <v>0.12886363636363637</v>
      </c>
    </row>
    <row r="3" spans="2:8" x14ac:dyDescent="0.2">
      <c r="B3" s="32" t="s">
        <v>53</v>
      </c>
      <c r="C3" s="32"/>
      <c r="D3" s="33">
        <v>315</v>
      </c>
      <c r="E3" s="40"/>
      <c r="F3" s="46" t="s">
        <v>54</v>
      </c>
      <c r="G3" s="41"/>
      <c r="H3" s="47">
        <f>SUM(H2*H2)</f>
        <v>1.6605836776859506E-2</v>
      </c>
    </row>
    <row r="4" spans="2:8" x14ac:dyDescent="0.2">
      <c r="B4" s="32" t="s">
        <v>26</v>
      </c>
      <c r="C4" s="33">
        <v>11</v>
      </c>
      <c r="D4" s="34">
        <f>SUM(D3/C4)*2</f>
        <v>57.272727272727273</v>
      </c>
      <c r="E4" s="40"/>
      <c r="F4" s="46" t="s">
        <v>55</v>
      </c>
      <c r="G4" s="41"/>
      <c r="H4" s="47">
        <f>SUM(3.142*H3)</f>
        <v>5.2175539152892567E-2</v>
      </c>
    </row>
    <row r="5" spans="2:8" ht="15.75" thickBot="1" x14ac:dyDescent="0.25">
      <c r="B5" s="32" t="s">
        <v>58</v>
      </c>
      <c r="C5" s="33"/>
      <c r="D5" s="23"/>
      <c r="E5" s="40"/>
      <c r="F5" s="48" t="s">
        <v>59</v>
      </c>
      <c r="G5" s="49"/>
      <c r="H5" s="50">
        <f>SUM(C7*H4)</f>
        <v>33.914100449380172</v>
      </c>
    </row>
    <row r="6" spans="2:8" x14ac:dyDescent="0.2">
      <c r="B6" s="32" t="s">
        <v>60</v>
      </c>
      <c r="C6" s="32"/>
      <c r="D6" s="35">
        <f>SUM(D3-D4)/(1000)</f>
        <v>0.25772727272727275</v>
      </c>
      <c r="E6" s="40"/>
      <c r="F6" s="43" t="s">
        <v>92</v>
      </c>
      <c r="G6" s="51">
        <v>350</v>
      </c>
      <c r="H6" s="52">
        <f>0.3*C8</f>
        <v>10.174230134814051</v>
      </c>
    </row>
    <row r="7" spans="2:8" x14ac:dyDescent="0.2">
      <c r="B7" s="32" t="s">
        <v>64</v>
      </c>
      <c r="C7" s="33">
        <v>650</v>
      </c>
      <c r="D7" s="32"/>
      <c r="E7" s="40"/>
      <c r="F7" s="46" t="s">
        <v>93</v>
      </c>
      <c r="G7" s="42">
        <v>3</v>
      </c>
      <c r="H7" s="53">
        <f>0.88*C8</f>
        <v>29.84440839545455</v>
      </c>
    </row>
    <row r="8" spans="2:8" x14ac:dyDescent="0.2">
      <c r="B8" s="32" t="s">
        <v>67</v>
      </c>
      <c r="C8" s="35">
        <f>H5</f>
        <v>33.914100449380172</v>
      </c>
      <c r="D8" s="32"/>
      <c r="E8" s="40"/>
      <c r="F8" s="46" t="s">
        <v>94</v>
      </c>
      <c r="G8" s="42">
        <v>4</v>
      </c>
      <c r="H8" s="53">
        <f>0.84*C8</f>
        <v>28.487844377479345</v>
      </c>
    </row>
    <row r="9" spans="2:8" x14ac:dyDescent="0.2">
      <c r="B9" s="32" t="s">
        <v>70</v>
      </c>
      <c r="C9" s="35">
        <f>SUM(C8*1000)</f>
        <v>33914.100449380174</v>
      </c>
      <c r="D9" s="32"/>
      <c r="E9" s="40"/>
      <c r="F9" s="46" t="s">
        <v>95</v>
      </c>
      <c r="G9" s="42">
        <v>5.5</v>
      </c>
      <c r="H9" s="53">
        <f>1.12*C8</f>
        <v>37.983792503305793</v>
      </c>
    </row>
    <row r="10" spans="2:8" ht="15.75" thickBot="1" x14ac:dyDescent="0.25">
      <c r="B10" s="32" t="s">
        <v>71</v>
      </c>
      <c r="C10" s="34">
        <f>SUM(C9/4.55)</f>
        <v>7453.648450413225</v>
      </c>
      <c r="D10" s="32"/>
      <c r="E10" s="40"/>
      <c r="F10" s="48" t="s">
        <v>96</v>
      </c>
      <c r="G10" s="54">
        <v>7</v>
      </c>
      <c r="H10" s="55">
        <f>1.75*C8</f>
        <v>59.349675786415304</v>
      </c>
    </row>
    <row r="11" spans="2:8" ht="15.75" thickBot="1" x14ac:dyDescent="0.25"/>
    <row r="12" spans="2:8" x14ac:dyDescent="0.2">
      <c r="B12" s="32" t="s">
        <v>97</v>
      </c>
      <c r="C12" s="32"/>
      <c r="D12" s="32"/>
      <c r="E12" s="40"/>
      <c r="F12" s="43" t="s">
        <v>49</v>
      </c>
      <c r="G12" s="44"/>
      <c r="H12" s="45">
        <f>+SUM(D16/2)</f>
        <v>0.14249999999999999</v>
      </c>
    </row>
    <row r="13" spans="2:8" x14ac:dyDescent="0.2">
      <c r="B13" s="32" t="s">
        <v>53</v>
      </c>
      <c r="C13" s="32"/>
      <c r="D13" s="33">
        <v>315</v>
      </c>
      <c r="E13" s="40"/>
      <c r="F13" s="46" t="s">
        <v>54</v>
      </c>
      <c r="G13" s="41"/>
      <c r="H13" s="47">
        <f>SUM(H12*H12)</f>
        <v>2.0306249999999998E-2</v>
      </c>
    </row>
    <row r="14" spans="2:8" x14ac:dyDescent="0.2">
      <c r="B14" s="32" t="s">
        <v>26</v>
      </c>
      <c r="C14" s="33">
        <v>21</v>
      </c>
      <c r="D14" s="34">
        <f>SUM(D13/C14)*2</f>
        <v>30</v>
      </c>
      <c r="E14" s="40"/>
      <c r="F14" s="46" t="s">
        <v>55</v>
      </c>
      <c r="G14" s="41"/>
      <c r="H14" s="47">
        <f>SUM(3.142*H13)</f>
        <v>6.3802237499999997E-2</v>
      </c>
    </row>
    <row r="15" spans="2:8" ht="15.75" thickBot="1" x14ac:dyDescent="0.25">
      <c r="B15" s="32" t="s">
        <v>58</v>
      </c>
      <c r="C15" s="33"/>
      <c r="D15" s="23"/>
      <c r="E15" s="40"/>
      <c r="F15" s="48" t="s">
        <v>59</v>
      </c>
      <c r="G15" s="49"/>
      <c r="H15" s="50">
        <f>SUM(C17*H14)</f>
        <v>11.1653915625</v>
      </c>
    </row>
    <row r="16" spans="2:8" x14ac:dyDescent="0.2">
      <c r="B16" s="32" t="s">
        <v>60</v>
      </c>
      <c r="C16" s="32"/>
      <c r="D16" s="35">
        <f>SUM(D13-D14)/(1000)</f>
        <v>0.28499999999999998</v>
      </c>
      <c r="E16" s="40"/>
      <c r="F16" s="43" t="s">
        <v>92</v>
      </c>
      <c r="G16" s="51">
        <v>350</v>
      </c>
      <c r="H16" s="52">
        <f>0.3*C18</f>
        <v>3.34961746875</v>
      </c>
    </row>
    <row r="17" spans="2:8" x14ac:dyDescent="0.2">
      <c r="B17" s="32" t="s">
        <v>64</v>
      </c>
      <c r="C17" s="33">
        <v>175</v>
      </c>
      <c r="D17" s="32"/>
      <c r="E17" s="40"/>
      <c r="F17" s="46" t="s">
        <v>93</v>
      </c>
      <c r="G17" s="42">
        <v>3</v>
      </c>
      <c r="H17" s="53">
        <f>0.88*C18</f>
        <v>9.8255445750000003</v>
      </c>
    </row>
    <row r="18" spans="2:8" x14ac:dyDescent="0.2">
      <c r="B18" s="32" t="s">
        <v>67</v>
      </c>
      <c r="C18" s="35">
        <f>H15</f>
        <v>11.1653915625</v>
      </c>
      <c r="D18" s="32"/>
      <c r="E18" s="40"/>
      <c r="F18" s="46" t="s">
        <v>94</v>
      </c>
      <c r="G18" s="42">
        <v>4</v>
      </c>
      <c r="H18" s="53">
        <f>0.84*C18</f>
        <v>9.3789289124999993</v>
      </c>
    </row>
    <row r="19" spans="2:8" x14ac:dyDescent="0.2">
      <c r="B19" s="32" t="s">
        <v>70</v>
      </c>
      <c r="C19" s="35">
        <f>SUM(C18*1000)</f>
        <v>11165.391562500001</v>
      </c>
      <c r="D19" s="32"/>
      <c r="E19" s="40"/>
      <c r="F19" s="46" t="s">
        <v>95</v>
      </c>
      <c r="G19" s="42">
        <v>5.5</v>
      </c>
      <c r="H19" s="53">
        <f>1.12*C18</f>
        <v>12.505238550000001</v>
      </c>
    </row>
    <row r="20" spans="2:8" ht="15.75" thickBot="1" x14ac:dyDescent="0.25">
      <c r="B20" s="32" t="s">
        <v>71</v>
      </c>
      <c r="C20" s="34">
        <f>SUM(C19/4.55)</f>
        <v>2453.9322115384616</v>
      </c>
      <c r="D20" s="32"/>
      <c r="E20" s="40"/>
      <c r="F20" s="48" t="s">
        <v>96</v>
      </c>
      <c r="G20" s="54">
        <v>7</v>
      </c>
      <c r="H20" s="55">
        <f>1.75*C18</f>
        <v>19.539435234374999</v>
      </c>
    </row>
    <row r="21" spans="2:8" ht="15.75" thickBot="1" x14ac:dyDescent="0.25"/>
    <row r="22" spans="2:8" x14ac:dyDescent="0.2">
      <c r="B22" s="32" t="s">
        <v>98</v>
      </c>
      <c r="C22" s="32"/>
      <c r="D22" s="32"/>
      <c r="E22" s="40"/>
      <c r="F22" s="43" t="s">
        <v>49</v>
      </c>
      <c r="G22" s="44"/>
      <c r="H22" s="45">
        <f>+SUM(D26/2)</f>
        <v>0.14249999999999999</v>
      </c>
    </row>
    <row r="23" spans="2:8" x14ac:dyDescent="0.2">
      <c r="B23" s="32" t="s">
        <v>53</v>
      </c>
      <c r="C23" s="32"/>
      <c r="D23" s="33">
        <v>315</v>
      </c>
      <c r="E23" s="40"/>
      <c r="F23" s="46" t="s">
        <v>54</v>
      </c>
      <c r="G23" s="41"/>
      <c r="H23" s="47">
        <f>SUM(H22*H22)</f>
        <v>2.0306249999999998E-2</v>
      </c>
    </row>
    <row r="24" spans="2:8" x14ac:dyDescent="0.2">
      <c r="B24" s="32" t="s">
        <v>26</v>
      </c>
      <c r="C24" s="33">
        <v>21</v>
      </c>
      <c r="D24" s="34">
        <f>SUM(D23/C24)*2</f>
        <v>30</v>
      </c>
      <c r="E24" s="40"/>
      <c r="F24" s="46" t="s">
        <v>55</v>
      </c>
      <c r="G24" s="41"/>
      <c r="H24" s="47">
        <f>SUM(3.142*H23)</f>
        <v>6.3802237499999997E-2</v>
      </c>
    </row>
    <row r="25" spans="2:8" ht="15.75" thickBot="1" x14ac:dyDescent="0.25">
      <c r="B25" s="32" t="s">
        <v>58</v>
      </c>
      <c r="C25" s="33"/>
      <c r="D25" s="23"/>
      <c r="E25" s="40"/>
      <c r="F25" s="48" t="s">
        <v>59</v>
      </c>
      <c r="G25" s="49"/>
      <c r="H25" s="50">
        <f>SUM(C27*H24)</f>
        <v>11.1653915625</v>
      </c>
    </row>
    <row r="26" spans="2:8" x14ac:dyDescent="0.2">
      <c r="B26" s="32" t="s">
        <v>60</v>
      </c>
      <c r="C26" s="32"/>
      <c r="D26" s="35">
        <f>SUM(D23-D24)/(1000)</f>
        <v>0.28499999999999998</v>
      </c>
      <c r="E26" s="40"/>
      <c r="F26" s="43" t="s">
        <v>92</v>
      </c>
      <c r="G26" s="51">
        <v>350</v>
      </c>
      <c r="H26" s="52">
        <f>0.3*C28</f>
        <v>3.34961746875</v>
      </c>
    </row>
    <row r="27" spans="2:8" x14ac:dyDescent="0.2">
      <c r="B27" s="32" t="s">
        <v>64</v>
      </c>
      <c r="C27" s="33">
        <v>175</v>
      </c>
      <c r="D27" s="32"/>
      <c r="E27" s="40"/>
      <c r="F27" s="46" t="s">
        <v>93</v>
      </c>
      <c r="G27" s="42">
        <v>3</v>
      </c>
      <c r="H27" s="53">
        <f>0.88*C28</f>
        <v>9.8255445750000003</v>
      </c>
    </row>
    <row r="28" spans="2:8" x14ac:dyDescent="0.2">
      <c r="B28" s="32" t="s">
        <v>67</v>
      </c>
      <c r="C28" s="35">
        <f>H25</f>
        <v>11.1653915625</v>
      </c>
      <c r="D28" s="32"/>
      <c r="E28" s="40"/>
      <c r="F28" s="46" t="s">
        <v>94</v>
      </c>
      <c r="G28" s="42">
        <v>4</v>
      </c>
      <c r="H28" s="53">
        <f>0.84*C28</f>
        <v>9.3789289124999993</v>
      </c>
    </row>
    <row r="29" spans="2:8" x14ac:dyDescent="0.2">
      <c r="B29" s="32" t="s">
        <v>70</v>
      </c>
      <c r="C29" s="35">
        <f>SUM(C28*1000)</f>
        <v>11165.391562500001</v>
      </c>
      <c r="D29" s="32"/>
      <c r="E29" s="40"/>
      <c r="F29" s="46" t="s">
        <v>95</v>
      </c>
      <c r="G29" s="42">
        <v>5.5</v>
      </c>
      <c r="H29" s="53">
        <f>1.12*C28</f>
        <v>12.505238550000001</v>
      </c>
    </row>
    <row r="30" spans="2:8" ht="15.75" thickBot="1" x14ac:dyDescent="0.25">
      <c r="B30" s="32" t="s">
        <v>71</v>
      </c>
      <c r="C30" s="34">
        <f>SUM(C29/4.55)</f>
        <v>2453.9322115384616</v>
      </c>
      <c r="D30" s="32"/>
      <c r="E30" s="40"/>
      <c r="F30" s="48" t="s">
        <v>96</v>
      </c>
      <c r="G30" s="54">
        <v>7</v>
      </c>
      <c r="H30" s="55">
        <f>1.75*C28</f>
        <v>19.539435234374999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Worksheets</vt:lpstr>
      </vt:variant>
      <vt:variant>
        <vt:i4>4</vt:i4>
      </vt:variant>
    </vt:vector>
  </HeadingPairs>
  <TitlesOfParts>
    <vt:vector size="4" baseType="lpstr">
      <vt:lpstr>Factors</vt:lpstr>
      <vt:lpstr>Test_using_Factors</vt:lpstr>
      <vt:lpstr>Test_using_Volume</vt:lpstr>
      <vt:lpstr>Test Volumes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mts-contracting</dc:creator>
  <cp:lastModifiedBy>mark smith</cp:lastModifiedBy>
  <cp:lastPrinted>2021-11-16T13:51:46Z</cp:lastPrinted>
  <dcterms:created xsi:type="dcterms:W3CDTF">2020-09-25T18:34:36Z</dcterms:created>
  <dcterms:modified xsi:type="dcterms:W3CDTF">2021-12-10T12:43:38Z</dcterms:modified>
</cp:coreProperties>
</file>